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pawel\3Blocks Business Dropbox\Completed\PAA eligibility\"/>
    </mc:Choice>
  </mc:AlternateContent>
  <xr:revisionPtr revIDLastSave="0" documentId="13_ncr:1_{728308DE-09B9-4452-BF46-BCFAAC280428}" xr6:coauthVersionLast="47" xr6:coauthVersionMax="47" xr10:uidLastSave="{00000000-0000-0000-0000-000000000000}"/>
  <workbookProtection workbookAlgorithmName="SHA-512" workbookHashValue="2SM1UoV9vbJc7ooeEfRVx8hng8j5TgyQADbcSNlqLBDhG5tPsgIQyCpU1W92KSVgw0x5MGRkiXlDO/BzU0/FiA==" workbookSaltValue="Ys2xD5jfi9kcAI8wMwNlDQ==" workbookSpinCount="100000" lockStructure="1"/>
  <bookViews>
    <workbookView xWindow="-96" yWindow="-96" windowWidth="23232" windowHeight="13872" tabRatio="564" xr2:uid="{00000000-000D-0000-FFFF-FFFF00000000}"/>
  </bookViews>
  <sheets>
    <sheet name="Intro" sheetId="24" r:id="rId1"/>
    <sheet name="2 years" sheetId="37" r:id="rId2"/>
    <sheet name="3 years" sheetId="32" r:id="rId3"/>
    <sheet name="4 years" sheetId="38" r:id="rId4"/>
    <sheet name="5 years" sheetId="39" r:id="rId5"/>
    <sheet name="Instructions" sheetId="36" r:id="rId6"/>
    <sheet name="Checks" sheetId="41" r:id="rId7"/>
    <sheet name="Abbrev" sheetId="27" r:id="rId8"/>
    <sheet name="PAA Rules" sheetId="28" r:id="rId9"/>
  </sheets>
  <externalReferences>
    <externalReference r:id="rId10"/>
  </externalReferences>
  <definedNames>
    <definedName name="Portfolio">[1]Settings!$C$5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64" i="39" l="1"/>
  <c r="T148" i="38"/>
  <c r="T132" i="32"/>
  <c r="T116" i="37"/>
  <c r="Z134" i="39"/>
  <c r="Z135" i="39"/>
  <c r="Z136" i="39"/>
  <c r="Z137" i="39"/>
  <c r="Z138" i="39"/>
  <c r="Z139" i="39"/>
  <c r="Z140" i="39"/>
  <c r="Z141" i="39"/>
  <c r="Z142" i="39"/>
  <c r="Z143" i="39"/>
  <c r="Z144" i="39"/>
  <c r="Z145" i="39"/>
  <c r="Z146" i="39"/>
  <c r="Z147" i="39"/>
  <c r="Z148" i="39"/>
  <c r="Z149" i="39"/>
  <c r="Z150" i="39"/>
  <c r="Z151" i="39"/>
  <c r="Z152" i="39"/>
  <c r="Z133" i="39"/>
  <c r="Z122" i="38"/>
  <c r="Z123" i="38"/>
  <c r="Z124" i="38"/>
  <c r="Z125" i="38"/>
  <c r="Z126" i="38"/>
  <c r="Z127" i="38"/>
  <c r="Z128" i="38"/>
  <c r="Z129" i="38"/>
  <c r="Z130" i="38"/>
  <c r="Z131" i="38"/>
  <c r="Z132" i="38"/>
  <c r="Z133" i="38"/>
  <c r="Z134" i="38"/>
  <c r="Z135" i="38"/>
  <c r="Z136" i="38"/>
  <c r="Z121" i="38"/>
  <c r="Z110" i="32"/>
  <c r="Z111" i="32"/>
  <c r="Z112" i="32"/>
  <c r="Z113" i="32"/>
  <c r="Z114" i="32"/>
  <c r="Z115" i="32"/>
  <c r="Z116" i="32"/>
  <c r="Z117" i="32"/>
  <c r="Z118" i="32"/>
  <c r="Z119" i="32"/>
  <c r="Z120" i="32"/>
  <c r="Z109" i="32"/>
  <c r="Z98" i="37"/>
  <c r="Z99" i="37"/>
  <c r="Z100" i="37"/>
  <c r="Z101" i="37"/>
  <c r="Z102" i="37"/>
  <c r="Z103" i="37"/>
  <c r="Z104" i="37"/>
  <c r="Z97" i="37"/>
  <c r="AA134" i="39" l="1"/>
  <c r="AA135" i="39"/>
  <c r="AA136" i="39"/>
  <c r="AA137" i="39"/>
  <c r="AA138" i="39"/>
  <c r="AA140" i="39"/>
  <c r="AA141" i="39"/>
  <c r="AA142" i="39"/>
  <c r="AA143" i="39"/>
  <c r="AA144" i="39"/>
  <c r="AA145" i="39"/>
  <c r="AA146" i="39"/>
  <c r="AA147" i="39"/>
  <c r="AA148" i="39"/>
  <c r="AA149" i="39"/>
  <c r="AA150" i="39"/>
  <c r="AA151" i="39"/>
  <c r="AA152" i="39"/>
  <c r="AA133" i="39"/>
  <c r="AA122" i="38"/>
  <c r="AA123" i="38"/>
  <c r="AA124" i="38"/>
  <c r="AA125" i="38"/>
  <c r="AA126" i="38"/>
  <c r="AA128" i="38"/>
  <c r="AA129" i="38"/>
  <c r="AA130" i="38"/>
  <c r="AA131" i="38"/>
  <c r="AA132" i="38"/>
  <c r="AA133" i="38"/>
  <c r="AA134" i="38"/>
  <c r="AA135" i="38"/>
  <c r="AA136" i="38"/>
  <c r="AA121" i="38"/>
  <c r="AA110" i="32"/>
  <c r="AA111" i="32"/>
  <c r="AA112" i="32"/>
  <c r="AA113" i="32"/>
  <c r="AA114" i="32"/>
  <c r="AA116" i="32"/>
  <c r="AA117" i="32"/>
  <c r="AA118" i="32"/>
  <c r="AA119" i="32"/>
  <c r="AA120" i="32"/>
  <c r="AA109" i="32"/>
  <c r="X134" i="39"/>
  <c r="X135" i="39"/>
  <c r="X136" i="39"/>
  <c r="X137" i="39"/>
  <c r="X138" i="39"/>
  <c r="X139" i="39"/>
  <c r="X140" i="39"/>
  <c r="X141" i="39"/>
  <c r="X142" i="39"/>
  <c r="X143" i="39"/>
  <c r="X144" i="39"/>
  <c r="X145" i="39"/>
  <c r="X146" i="39"/>
  <c r="X147" i="39"/>
  <c r="X148" i="39"/>
  <c r="X149" i="39"/>
  <c r="X150" i="39"/>
  <c r="X151" i="39"/>
  <c r="X152" i="39"/>
  <c r="X122" i="38"/>
  <c r="X123" i="38"/>
  <c r="X124" i="38"/>
  <c r="X125" i="38"/>
  <c r="X126" i="38"/>
  <c r="X127" i="38"/>
  <c r="X128" i="38"/>
  <c r="X129" i="38"/>
  <c r="X130" i="38"/>
  <c r="X131" i="38"/>
  <c r="X132" i="38"/>
  <c r="X133" i="38"/>
  <c r="X134" i="38"/>
  <c r="X135" i="38"/>
  <c r="X136" i="38"/>
  <c r="X110" i="32"/>
  <c r="X111" i="32"/>
  <c r="X112" i="32"/>
  <c r="X113" i="32"/>
  <c r="X114" i="32"/>
  <c r="X115" i="32"/>
  <c r="X116" i="32"/>
  <c r="X117" i="32"/>
  <c r="X118" i="32"/>
  <c r="X119" i="32"/>
  <c r="X120" i="32"/>
  <c r="X98" i="37"/>
  <c r="X99" i="37"/>
  <c r="X100" i="37"/>
  <c r="X101" i="37"/>
  <c r="X102" i="37"/>
  <c r="X103" i="37"/>
  <c r="X104" i="37"/>
  <c r="F15" i="39"/>
  <c r="F15" i="38"/>
  <c r="F15" i="32"/>
  <c r="F15" i="37"/>
  <c r="Z101" i="39"/>
  <c r="Z70" i="39"/>
  <c r="Z39" i="39"/>
  <c r="Z93" i="38"/>
  <c r="Z66" i="38"/>
  <c r="Z39" i="38"/>
  <c r="Z85" i="32"/>
  <c r="Z62" i="32"/>
  <c r="Z39" i="32"/>
  <c r="Z77" i="37"/>
  <c r="Z58" i="37"/>
  <c r="Z39" i="37"/>
  <c r="AA99" i="37"/>
  <c r="AA100" i="37"/>
  <c r="AA101" i="37"/>
  <c r="AA102" i="37"/>
  <c r="AA104" i="37"/>
  <c r="AA97" i="37"/>
  <c r="D102" i="39"/>
  <c r="D103" i="39" s="1"/>
  <c r="D104" i="39" s="1"/>
  <c r="D105" i="39" s="1"/>
  <c r="D106" i="39" s="1"/>
  <c r="D107" i="39" s="1"/>
  <c r="D108" i="39" s="1"/>
  <c r="D109" i="39" s="1"/>
  <c r="D110" i="39" s="1"/>
  <c r="D111" i="39" s="1"/>
  <c r="D112" i="39" s="1"/>
  <c r="D113" i="39" s="1"/>
  <c r="D114" i="39" s="1"/>
  <c r="D115" i="39" s="1"/>
  <c r="D116" i="39" s="1"/>
  <c r="D117" i="39" s="1"/>
  <c r="D118" i="39" s="1"/>
  <c r="D119" i="39" s="1"/>
  <c r="D120" i="39" s="1"/>
  <c r="D121" i="39" s="1"/>
  <c r="D94" i="38"/>
  <c r="D95" i="38" s="1"/>
  <c r="D96" i="38" s="1"/>
  <c r="D97" i="38" s="1"/>
  <c r="D98" i="38" s="1"/>
  <c r="D99" i="38" s="1"/>
  <c r="D100" i="38" s="1"/>
  <c r="D101" i="38" s="1"/>
  <c r="D102" i="38" s="1"/>
  <c r="D103" i="38" s="1"/>
  <c r="D104" i="38" s="1"/>
  <c r="D105" i="38" s="1"/>
  <c r="D106" i="38" s="1"/>
  <c r="D107" i="38" s="1"/>
  <c r="D108" i="38" s="1"/>
  <c r="D109" i="38" s="1"/>
  <c r="D86" i="32"/>
  <c r="D87" i="32" s="1"/>
  <c r="D88" i="32" s="1"/>
  <c r="D89" i="32" s="1"/>
  <c r="D90" i="32" s="1"/>
  <c r="D91" i="32" s="1"/>
  <c r="D92" i="32" s="1"/>
  <c r="D93" i="32" s="1"/>
  <c r="D94" i="32" s="1"/>
  <c r="D95" i="32" s="1"/>
  <c r="D96" i="32" s="1"/>
  <c r="D97" i="32" s="1"/>
  <c r="D78" i="37"/>
  <c r="D79" i="37" s="1"/>
  <c r="D80" i="37" s="1"/>
  <c r="D81" i="37" s="1"/>
  <c r="D82" i="37" s="1"/>
  <c r="D83" i="37" s="1"/>
  <c r="D84" i="37" s="1"/>
  <c r="D85" i="37" s="1"/>
  <c r="M183" i="39"/>
  <c r="M182" i="39"/>
  <c r="M181" i="39"/>
  <c r="M180" i="39"/>
  <c r="M179" i="39"/>
  <c r="M178" i="39"/>
  <c r="M177" i="39"/>
  <c r="M176" i="39"/>
  <c r="M175" i="39"/>
  <c r="M174" i="39"/>
  <c r="M173" i="39"/>
  <c r="M172" i="39"/>
  <c r="M171" i="39"/>
  <c r="M169" i="39"/>
  <c r="M168" i="39"/>
  <c r="M167" i="39"/>
  <c r="M166" i="39"/>
  <c r="M165" i="39"/>
  <c r="M164" i="39"/>
  <c r="M163" i="38"/>
  <c r="M162" i="38"/>
  <c r="M161" i="38"/>
  <c r="M160" i="38"/>
  <c r="M159" i="38"/>
  <c r="M158" i="38"/>
  <c r="M157" i="38"/>
  <c r="M156" i="38"/>
  <c r="M155" i="38"/>
  <c r="M153" i="38"/>
  <c r="M152" i="38"/>
  <c r="M151" i="38"/>
  <c r="M150" i="38"/>
  <c r="M149" i="38"/>
  <c r="M148" i="38"/>
  <c r="M143" i="32"/>
  <c r="M142" i="32"/>
  <c r="M141" i="32"/>
  <c r="M140" i="32"/>
  <c r="M139" i="32"/>
  <c r="M137" i="32"/>
  <c r="M136" i="32"/>
  <c r="M135" i="32"/>
  <c r="M134" i="32"/>
  <c r="M133" i="32"/>
  <c r="M132" i="32"/>
  <c r="M123" i="37"/>
  <c r="M121" i="37"/>
  <c r="M119" i="37"/>
  <c r="M118" i="37"/>
  <c r="M116" i="37"/>
  <c r="G13" i="37" l="1"/>
  <c r="G15" i="37" s="1"/>
  <c r="W85" i="37" l="1"/>
  <c r="W77" i="37"/>
  <c r="W66" i="37"/>
  <c r="W58" i="37"/>
  <c r="W47" i="37"/>
  <c r="W39" i="37"/>
  <c r="T79" i="37"/>
  <c r="T80" i="37"/>
  <c r="T81" i="37"/>
  <c r="T82" i="37"/>
  <c r="T83" i="37"/>
  <c r="T84" i="37"/>
  <c r="T85" i="37"/>
  <c r="T78" i="37"/>
  <c r="T69" i="37"/>
  <c r="T50" i="37"/>
  <c r="U43" i="37" s="1"/>
  <c r="W97" i="32"/>
  <c r="W85" i="32"/>
  <c r="W74" i="32"/>
  <c r="W62" i="32"/>
  <c r="W51" i="32"/>
  <c r="W39" i="32"/>
  <c r="T87" i="32"/>
  <c r="T88" i="32"/>
  <c r="T89" i="32"/>
  <c r="T90" i="32"/>
  <c r="T91" i="32"/>
  <c r="T92" i="32"/>
  <c r="T93" i="32"/>
  <c r="T94" i="32"/>
  <c r="T95" i="32"/>
  <c r="T96" i="32"/>
  <c r="T97" i="32"/>
  <c r="T86" i="32"/>
  <c r="T77" i="32"/>
  <c r="T54" i="32"/>
  <c r="U42" i="32" s="1"/>
  <c r="W109" i="38"/>
  <c r="W93" i="38"/>
  <c r="W82" i="38"/>
  <c r="W66" i="38"/>
  <c r="W55" i="38"/>
  <c r="W39" i="38"/>
  <c r="T95" i="38"/>
  <c r="T96" i="38"/>
  <c r="T97" i="38"/>
  <c r="T98" i="38"/>
  <c r="T99" i="38"/>
  <c r="T100" i="38"/>
  <c r="T101" i="38"/>
  <c r="T102" i="38"/>
  <c r="T103" i="38"/>
  <c r="T104" i="38"/>
  <c r="T105" i="38"/>
  <c r="T106" i="38"/>
  <c r="T107" i="38"/>
  <c r="T108" i="38"/>
  <c r="T109" i="38"/>
  <c r="T94" i="38"/>
  <c r="T85" i="38"/>
  <c r="T58" i="38"/>
  <c r="U72" i="38" l="1"/>
  <c r="U73" i="38"/>
  <c r="U74" i="38"/>
  <c r="U75" i="38"/>
  <c r="U76" i="38"/>
  <c r="U78" i="38"/>
  <c r="U77" i="38"/>
  <c r="U79" i="38"/>
  <c r="U68" i="38"/>
  <c r="U80" i="38"/>
  <c r="U71" i="38"/>
  <c r="U69" i="38"/>
  <c r="U81" i="38"/>
  <c r="U67" i="38"/>
  <c r="U70" i="38"/>
  <c r="U82" i="38"/>
  <c r="U96" i="38"/>
  <c r="U92" i="32"/>
  <c r="U91" i="32"/>
  <c r="U89" i="32"/>
  <c r="U88" i="32"/>
  <c r="U64" i="32"/>
  <c r="U65" i="32"/>
  <c r="U66" i="32"/>
  <c r="U63" i="32"/>
  <c r="U67" i="32"/>
  <c r="U68" i="32"/>
  <c r="U69" i="32"/>
  <c r="U70" i="32"/>
  <c r="U71" i="32"/>
  <c r="U72" i="32"/>
  <c r="U73" i="32"/>
  <c r="U74" i="32"/>
  <c r="U84" i="37"/>
  <c r="U64" i="37"/>
  <c r="U65" i="37"/>
  <c r="U66" i="37"/>
  <c r="U59" i="37"/>
  <c r="U60" i="37"/>
  <c r="U61" i="37"/>
  <c r="U62" i="37"/>
  <c r="U63" i="37"/>
  <c r="U78" i="37"/>
  <c r="U85" i="37"/>
  <c r="U80" i="37"/>
  <c r="U79" i="37"/>
  <c r="U47" i="32"/>
  <c r="U49" i="32"/>
  <c r="T100" i="32"/>
  <c r="U90" i="32" s="1"/>
  <c r="T112" i="38"/>
  <c r="U107" i="38" s="1"/>
  <c r="U51" i="32"/>
  <c r="U48" i="32"/>
  <c r="U41" i="32"/>
  <c r="T88" i="37"/>
  <c r="U83" i="37" s="1"/>
  <c r="U47" i="37"/>
  <c r="U46" i="37"/>
  <c r="U44" i="37"/>
  <c r="U42" i="37"/>
  <c r="U41" i="37"/>
  <c r="U40" i="37"/>
  <c r="U45" i="37"/>
  <c r="U46" i="32"/>
  <c r="U45" i="32"/>
  <c r="U40" i="32"/>
  <c r="U44" i="32"/>
  <c r="U43" i="32"/>
  <c r="U50" i="32"/>
  <c r="W121" i="39"/>
  <c r="W101" i="39"/>
  <c r="W90" i="39"/>
  <c r="W70" i="39"/>
  <c r="W59" i="39"/>
  <c r="W39" i="39"/>
  <c r="T121" i="39"/>
  <c r="T120" i="39"/>
  <c r="T119" i="39"/>
  <c r="T118" i="39"/>
  <c r="T117" i="39"/>
  <c r="T116" i="39"/>
  <c r="T115" i="39"/>
  <c r="T114" i="39"/>
  <c r="T113" i="39"/>
  <c r="T112" i="39"/>
  <c r="T111" i="39"/>
  <c r="T110" i="39"/>
  <c r="T109" i="39"/>
  <c r="T108" i="39"/>
  <c r="T107" i="39"/>
  <c r="T106" i="39"/>
  <c r="T105" i="39"/>
  <c r="T104" i="39"/>
  <c r="T103" i="39"/>
  <c r="T102" i="39"/>
  <c r="T62" i="39"/>
  <c r="U58" i="39" s="1"/>
  <c r="U108" i="38" l="1"/>
  <c r="U101" i="38"/>
  <c r="U102" i="38"/>
  <c r="U103" i="38"/>
  <c r="U104" i="38"/>
  <c r="U94" i="32"/>
  <c r="U95" i="32"/>
  <c r="U81" i="37"/>
  <c r="U88" i="37" s="1"/>
  <c r="U82" i="37"/>
  <c r="U105" i="38"/>
  <c r="U97" i="38"/>
  <c r="U100" i="38"/>
  <c r="U109" i="38"/>
  <c r="U94" i="38"/>
  <c r="U99" i="38"/>
  <c r="U106" i="38"/>
  <c r="U95" i="38"/>
  <c r="U98" i="38"/>
  <c r="U93" i="32"/>
  <c r="U87" i="32"/>
  <c r="U96" i="32"/>
  <c r="U97" i="32"/>
  <c r="U86" i="32"/>
  <c r="U85" i="38"/>
  <c r="U54" i="32"/>
  <c r="U77" i="32"/>
  <c r="U50" i="37"/>
  <c r="U69" i="37"/>
  <c r="U57" i="39"/>
  <c r="U59" i="39"/>
  <c r="U45" i="39"/>
  <c r="U46" i="39"/>
  <c r="U51" i="39"/>
  <c r="U53" i="39"/>
  <c r="U55" i="39"/>
  <c r="U56" i="39"/>
  <c r="U41" i="39"/>
  <c r="U43" i="39"/>
  <c r="U44" i="39"/>
  <c r="U48" i="39"/>
  <c r="U50" i="39"/>
  <c r="U40" i="39"/>
  <c r="U52" i="39"/>
  <c r="U42" i="39"/>
  <c r="U54" i="39"/>
  <c r="T124" i="39"/>
  <c r="U120" i="39" s="1"/>
  <c r="U47" i="39"/>
  <c r="U49" i="39"/>
  <c r="T93" i="39"/>
  <c r="U105" i="39" l="1"/>
  <c r="U108" i="39"/>
  <c r="U107" i="39"/>
  <c r="U119" i="39"/>
  <c r="U112" i="38"/>
  <c r="U100" i="32"/>
  <c r="U76" i="39"/>
  <c r="U88" i="39"/>
  <c r="U77" i="39"/>
  <c r="U89" i="39"/>
  <c r="U78" i="39"/>
  <c r="U90" i="39"/>
  <c r="U79" i="39"/>
  <c r="U71" i="39"/>
  <c r="U80" i="39"/>
  <c r="U81" i="39"/>
  <c r="U82" i="39"/>
  <c r="U86" i="39"/>
  <c r="U83" i="39"/>
  <c r="U72" i="39"/>
  <c r="U84" i="39"/>
  <c r="U74" i="39"/>
  <c r="U73" i="39"/>
  <c r="U85" i="39"/>
  <c r="U75" i="39"/>
  <c r="U87" i="39"/>
  <c r="U115" i="39"/>
  <c r="U118" i="39"/>
  <c r="U102" i="39"/>
  <c r="U113" i="39"/>
  <c r="U117" i="39"/>
  <c r="U110" i="39"/>
  <c r="U106" i="39"/>
  <c r="U104" i="39"/>
  <c r="U111" i="39"/>
  <c r="U103" i="39"/>
  <c r="U121" i="39"/>
  <c r="U116" i="39"/>
  <c r="U114" i="39"/>
  <c r="U109" i="39"/>
  <c r="U112" i="39"/>
  <c r="U62" i="39"/>
  <c r="T176" i="39"/>
  <c r="T177" i="39"/>
  <c r="T178" i="39"/>
  <c r="T179" i="39"/>
  <c r="T180" i="39"/>
  <c r="T181" i="39"/>
  <c r="T182" i="39"/>
  <c r="T183" i="39"/>
  <c r="F145" i="39"/>
  <c r="K145" i="39"/>
  <c r="L145" i="39"/>
  <c r="P145" i="39"/>
  <c r="S145" i="39"/>
  <c r="T145" i="39"/>
  <c r="F146" i="39"/>
  <c r="K146" i="39"/>
  <c r="L146" i="39"/>
  <c r="P146" i="39"/>
  <c r="S146" i="39"/>
  <c r="T146" i="39"/>
  <c r="F147" i="39"/>
  <c r="K147" i="39"/>
  <c r="L147" i="39"/>
  <c r="P147" i="39"/>
  <c r="S147" i="39"/>
  <c r="T147" i="39"/>
  <c r="F148" i="39"/>
  <c r="K148" i="39"/>
  <c r="L148" i="39"/>
  <c r="P148" i="39"/>
  <c r="S148" i="39"/>
  <c r="T148" i="39"/>
  <c r="F149" i="39"/>
  <c r="K149" i="39"/>
  <c r="L149" i="39"/>
  <c r="P149" i="39"/>
  <c r="S149" i="39"/>
  <c r="T149" i="39"/>
  <c r="F150" i="39"/>
  <c r="K150" i="39"/>
  <c r="L150" i="39"/>
  <c r="P150" i="39"/>
  <c r="S150" i="39"/>
  <c r="T150" i="39"/>
  <c r="F151" i="39"/>
  <c r="K151" i="39"/>
  <c r="L151" i="39"/>
  <c r="P151" i="39"/>
  <c r="S151" i="39"/>
  <c r="T151" i="39"/>
  <c r="F152" i="39"/>
  <c r="K152" i="39"/>
  <c r="L152" i="39"/>
  <c r="P152" i="39"/>
  <c r="S152" i="39"/>
  <c r="T152" i="39"/>
  <c r="O114" i="39"/>
  <c r="O115" i="39"/>
  <c r="O116" i="39"/>
  <c r="O117" i="39"/>
  <c r="O118" i="39"/>
  <c r="O119" i="39"/>
  <c r="O120" i="39"/>
  <c r="O121" i="39"/>
  <c r="F114" i="39"/>
  <c r="J114" i="39"/>
  <c r="F115" i="39"/>
  <c r="J115" i="39"/>
  <c r="F116" i="39"/>
  <c r="J116" i="39"/>
  <c r="F117" i="39"/>
  <c r="J117" i="39"/>
  <c r="F118" i="39"/>
  <c r="J118" i="39"/>
  <c r="F119" i="39"/>
  <c r="J119" i="39"/>
  <c r="F120" i="39"/>
  <c r="J120" i="39"/>
  <c r="F121" i="39"/>
  <c r="J121" i="39"/>
  <c r="F83" i="39"/>
  <c r="F84" i="39"/>
  <c r="F85" i="39"/>
  <c r="F86" i="39"/>
  <c r="F87" i="39"/>
  <c r="F88" i="39"/>
  <c r="F89" i="39"/>
  <c r="F90" i="39"/>
  <c r="F52" i="39"/>
  <c r="W52" i="39" s="1"/>
  <c r="F53" i="39"/>
  <c r="W53" i="39" s="1"/>
  <c r="F54" i="39"/>
  <c r="W54" i="39" s="1"/>
  <c r="F55" i="39"/>
  <c r="W55" i="39" s="1"/>
  <c r="F56" i="39"/>
  <c r="W56" i="39" s="1"/>
  <c r="F57" i="39"/>
  <c r="W57" i="39" s="1"/>
  <c r="F58" i="39"/>
  <c r="W58" i="39" s="1"/>
  <c r="F59" i="39"/>
  <c r="T175" i="39"/>
  <c r="T174" i="39"/>
  <c r="T173" i="39"/>
  <c r="T172" i="39"/>
  <c r="T171" i="39"/>
  <c r="T170" i="39"/>
  <c r="T169" i="39"/>
  <c r="T168" i="39"/>
  <c r="T167" i="39"/>
  <c r="T166" i="39"/>
  <c r="T165" i="39"/>
  <c r="R164" i="39"/>
  <c r="T144" i="39"/>
  <c r="S144" i="39"/>
  <c r="P144" i="39"/>
  <c r="L144" i="39"/>
  <c r="K144" i="39"/>
  <c r="F144" i="39"/>
  <c r="T143" i="39"/>
  <c r="S143" i="39"/>
  <c r="P143" i="39"/>
  <c r="L143" i="39"/>
  <c r="K143" i="39"/>
  <c r="F143" i="39"/>
  <c r="T142" i="39"/>
  <c r="S142" i="39"/>
  <c r="P142" i="39"/>
  <c r="L142" i="39"/>
  <c r="K142" i="39"/>
  <c r="F142" i="39"/>
  <c r="T141" i="39"/>
  <c r="S141" i="39"/>
  <c r="P141" i="39"/>
  <c r="L141" i="39"/>
  <c r="K141" i="39"/>
  <c r="F141" i="39"/>
  <c r="T140" i="39"/>
  <c r="S140" i="39"/>
  <c r="P140" i="39"/>
  <c r="L140" i="39"/>
  <c r="K140" i="39"/>
  <c r="F140" i="39"/>
  <c r="P139" i="39"/>
  <c r="F139" i="39"/>
  <c r="T138" i="39"/>
  <c r="S138" i="39"/>
  <c r="P138" i="39"/>
  <c r="L138" i="39"/>
  <c r="K138" i="39"/>
  <c r="F138" i="39"/>
  <c r="P137" i="39"/>
  <c r="F137" i="39"/>
  <c r="T136" i="39"/>
  <c r="S136" i="39"/>
  <c r="P136" i="39"/>
  <c r="L136" i="39"/>
  <c r="K136" i="39"/>
  <c r="F136" i="39"/>
  <c r="T135" i="39"/>
  <c r="S135" i="39"/>
  <c r="P135" i="39"/>
  <c r="L135" i="39"/>
  <c r="K135" i="39"/>
  <c r="F135" i="39"/>
  <c r="T134" i="39"/>
  <c r="S134" i="39"/>
  <c r="P134" i="39"/>
  <c r="L134" i="39"/>
  <c r="K134" i="39"/>
  <c r="F134" i="39"/>
  <c r="W133" i="39"/>
  <c r="T133" i="39"/>
  <c r="S133" i="39"/>
  <c r="O133" i="39"/>
  <c r="L133" i="39"/>
  <c r="K133" i="39"/>
  <c r="E133" i="39"/>
  <c r="O113" i="39"/>
  <c r="J113" i="39"/>
  <c r="F113" i="39"/>
  <c r="O112" i="39"/>
  <c r="J112" i="39"/>
  <c r="F112" i="39"/>
  <c r="O111" i="39"/>
  <c r="J111" i="39"/>
  <c r="F111" i="39"/>
  <c r="O110" i="39"/>
  <c r="J110" i="39"/>
  <c r="F110" i="39"/>
  <c r="O109" i="39"/>
  <c r="J109" i="39"/>
  <c r="F109" i="39"/>
  <c r="O108" i="39"/>
  <c r="J108" i="39"/>
  <c r="F108" i="39"/>
  <c r="O107" i="39"/>
  <c r="J107" i="39"/>
  <c r="F107" i="39"/>
  <c r="O106" i="39"/>
  <c r="J106" i="39"/>
  <c r="F106" i="39"/>
  <c r="O105" i="39"/>
  <c r="J105" i="39"/>
  <c r="F105" i="39"/>
  <c r="O104" i="39"/>
  <c r="J104" i="39"/>
  <c r="F104" i="39"/>
  <c r="O103" i="39"/>
  <c r="J103" i="39"/>
  <c r="F103" i="39"/>
  <c r="O102" i="39"/>
  <c r="J102" i="39"/>
  <c r="F102" i="39"/>
  <c r="AG102" i="39"/>
  <c r="O93" i="39"/>
  <c r="P80" i="39" s="1"/>
  <c r="J93" i="39"/>
  <c r="F82" i="39"/>
  <c r="F81" i="39"/>
  <c r="F80" i="39"/>
  <c r="F79" i="39"/>
  <c r="F78" i="39"/>
  <c r="F77" i="39"/>
  <c r="F76" i="39"/>
  <c r="F75" i="39"/>
  <c r="F74" i="39"/>
  <c r="F73" i="39"/>
  <c r="F72" i="39"/>
  <c r="F71" i="39"/>
  <c r="D71" i="39"/>
  <c r="D72" i="39" s="1"/>
  <c r="AG72" i="39" s="1"/>
  <c r="O62" i="39"/>
  <c r="P51" i="39" s="1"/>
  <c r="J62" i="39"/>
  <c r="K52" i="39" s="1"/>
  <c r="F51" i="39"/>
  <c r="F50" i="39"/>
  <c r="W50" i="39" s="1"/>
  <c r="F49" i="39"/>
  <c r="W49" i="39" s="1"/>
  <c r="F48" i="39"/>
  <c r="W48" i="39" s="1"/>
  <c r="F47" i="39"/>
  <c r="W47" i="39" s="1"/>
  <c r="F46" i="39"/>
  <c r="W46" i="39" s="1"/>
  <c r="F45" i="39"/>
  <c r="W45" i="39" s="1"/>
  <c r="F44" i="39"/>
  <c r="W44" i="39" s="1"/>
  <c r="F43" i="39"/>
  <c r="W43" i="39" s="1"/>
  <c r="F42" i="39"/>
  <c r="W42" i="39" s="1"/>
  <c r="F41" i="39"/>
  <c r="W41" i="39" s="1"/>
  <c r="F40" i="39"/>
  <c r="W40" i="39" s="1"/>
  <c r="D40" i="39"/>
  <c r="AG40" i="39" s="1"/>
  <c r="G13" i="39"/>
  <c r="G15" i="39" s="1"/>
  <c r="T156" i="38"/>
  <c r="T157" i="38"/>
  <c r="T158" i="38"/>
  <c r="T159" i="38"/>
  <c r="T160" i="38"/>
  <c r="T161" i="38"/>
  <c r="T162" i="38"/>
  <c r="T163" i="38"/>
  <c r="P129" i="38"/>
  <c r="S129" i="38"/>
  <c r="T129" i="38"/>
  <c r="P130" i="38"/>
  <c r="S130" i="38"/>
  <c r="T130" i="38"/>
  <c r="P131" i="38"/>
  <c r="S131" i="38"/>
  <c r="T131" i="38"/>
  <c r="P132" i="38"/>
  <c r="S132" i="38"/>
  <c r="T132" i="38"/>
  <c r="P133" i="38"/>
  <c r="S133" i="38"/>
  <c r="T133" i="38"/>
  <c r="P134" i="38"/>
  <c r="S134" i="38"/>
  <c r="T134" i="38"/>
  <c r="P135" i="38"/>
  <c r="S135" i="38"/>
  <c r="T135" i="38"/>
  <c r="P136" i="38"/>
  <c r="S136" i="38"/>
  <c r="T136" i="38"/>
  <c r="F129" i="38"/>
  <c r="K129" i="38"/>
  <c r="L129" i="38"/>
  <c r="F130" i="38"/>
  <c r="K130" i="38"/>
  <c r="L130" i="38"/>
  <c r="F131" i="38"/>
  <c r="K131" i="38"/>
  <c r="L131" i="38"/>
  <c r="F132" i="38"/>
  <c r="K132" i="38"/>
  <c r="L132" i="38"/>
  <c r="F133" i="38"/>
  <c r="K133" i="38"/>
  <c r="L133" i="38"/>
  <c r="F134" i="38"/>
  <c r="K134" i="38"/>
  <c r="L134" i="38"/>
  <c r="F135" i="38"/>
  <c r="K135" i="38"/>
  <c r="L135" i="38"/>
  <c r="F136" i="38"/>
  <c r="K136" i="38"/>
  <c r="L136" i="38"/>
  <c r="J102" i="38"/>
  <c r="O102" i="38"/>
  <c r="J103" i="38"/>
  <c r="O103" i="38"/>
  <c r="J104" i="38"/>
  <c r="O104" i="38"/>
  <c r="J105" i="38"/>
  <c r="O105" i="38"/>
  <c r="J106" i="38"/>
  <c r="O106" i="38"/>
  <c r="J107" i="38"/>
  <c r="O107" i="38"/>
  <c r="J108" i="38"/>
  <c r="O108" i="38"/>
  <c r="J109" i="38"/>
  <c r="O109" i="38"/>
  <c r="F102" i="38"/>
  <c r="F103" i="38"/>
  <c r="F104" i="38"/>
  <c r="F105" i="38"/>
  <c r="F106" i="38"/>
  <c r="F107" i="38"/>
  <c r="F108" i="38"/>
  <c r="F109" i="38"/>
  <c r="F75" i="38"/>
  <c r="F76" i="38"/>
  <c r="F77" i="38"/>
  <c r="F78" i="38"/>
  <c r="F79" i="38"/>
  <c r="F80" i="38"/>
  <c r="F81" i="38"/>
  <c r="F82" i="38"/>
  <c r="F48" i="38"/>
  <c r="W48" i="38" s="1"/>
  <c r="F49" i="38"/>
  <c r="W49" i="38" s="1"/>
  <c r="F50" i="38"/>
  <c r="W50" i="38" s="1"/>
  <c r="F51" i="38"/>
  <c r="W51" i="38" s="1"/>
  <c r="F52" i="38"/>
  <c r="W52" i="38" s="1"/>
  <c r="F53" i="38"/>
  <c r="W53" i="38" s="1"/>
  <c r="F54" i="38"/>
  <c r="W54" i="38" s="1"/>
  <c r="F55" i="38"/>
  <c r="T155" i="38"/>
  <c r="T154" i="38"/>
  <c r="T153" i="38"/>
  <c r="T152" i="38"/>
  <c r="T151" i="38"/>
  <c r="T150" i="38"/>
  <c r="T149" i="38"/>
  <c r="R148" i="38"/>
  <c r="T128" i="38"/>
  <c r="S128" i="38"/>
  <c r="P128" i="38"/>
  <c r="L128" i="38"/>
  <c r="K128" i="38"/>
  <c r="F128" i="38"/>
  <c r="P127" i="38"/>
  <c r="F127" i="38"/>
  <c r="T126" i="38"/>
  <c r="S126" i="38"/>
  <c r="P126" i="38"/>
  <c r="L126" i="38"/>
  <c r="K126" i="38"/>
  <c r="F126" i="38"/>
  <c r="T125" i="38"/>
  <c r="S125" i="38"/>
  <c r="P125" i="38"/>
  <c r="L125" i="38"/>
  <c r="K125" i="38"/>
  <c r="F125" i="38"/>
  <c r="T124" i="38"/>
  <c r="S124" i="38"/>
  <c r="P124" i="38"/>
  <c r="L124" i="38"/>
  <c r="K124" i="38"/>
  <c r="F124" i="38"/>
  <c r="T123" i="38"/>
  <c r="S123" i="38"/>
  <c r="P123" i="38"/>
  <c r="L123" i="38"/>
  <c r="K123" i="38"/>
  <c r="F123" i="38"/>
  <c r="T122" i="38"/>
  <c r="S122" i="38"/>
  <c r="P122" i="38"/>
  <c r="L122" i="38"/>
  <c r="K122" i="38"/>
  <c r="F122" i="38"/>
  <c r="W121" i="38"/>
  <c r="T121" i="38"/>
  <c r="S121" i="38"/>
  <c r="O121" i="38"/>
  <c r="L121" i="38"/>
  <c r="K121" i="38"/>
  <c r="E121" i="38"/>
  <c r="O101" i="38"/>
  <c r="J101" i="38"/>
  <c r="F101" i="38"/>
  <c r="O100" i="38"/>
  <c r="J100" i="38"/>
  <c r="F100" i="38"/>
  <c r="O99" i="38"/>
  <c r="J99" i="38"/>
  <c r="F99" i="38"/>
  <c r="O98" i="38"/>
  <c r="J98" i="38"/>
  <c r="F98" i="38"/>
  <c r="O97" i="38"/>
  <c r="J97" i="38"/>
  <c r="F97" i="38"/>
  <c r="O96" i="38"/>
  <c r="J96" i="38"/>
  <c r="F96" i="38"/>
  <c r="O95" i="38"/>
  <c r="J95" i="38"/>
  <c r="F95" i="38"/>
  <c r="O94" i="38"/>
  <c r="J94" i="38"/>
  <c r="F94" i="38"/>
  <c r="O85" i="38"/>
  <c r="P72" i="38" s="1"/>
  <c r="J85" i="38"/>
  <c r="K75" i="38" s="1"/>
  <c r="F74" i="38"/>
  <c r="F73" i="38"/>
  <c r="F72" i="38"/>
  <c r="F71" i="38"/>
  <c r="F70" i="38"/>
  <c r="F69" i="38"/>
  <c r="F68" i="38"/>
  <c r="F67" i="38"/>
  <c r="D67" i="38"/>
  <c r="AD66" i="38"/>
  <c r="O58" i="38"/>
  <c r="P48" i="38" s="1"/>
  <c r="Y48" i="38" s="1"/>
  <c r="J58" i="38"/>
  <c r="K48" i="38" s="1"/>
  <c r="F47" i="38"/>
  <c r="W47" i="38" s="1"/>
  <c r="F46" i="38"/>
  <c r="W46" i="38" s="1"/>
  <c r="F45" i="38"/>
  <c r="W45" i="38" s="1"/>
  <c r="F44" i="38"/>
  <c r="W44" i="38" s="1"/>
  <c r="F43" i="38"/>
  <c r="W43" i="38" s="1"/>
  <c r="F42" i="38"/>
  <c r="W42" i="38" s="1"/>
  <c r="F41" i="38"/>
  <c r="W41" i="38" s="1"/>
  <c r="F40" i="38"/>
  <c r="W40" i="38" s="1"/>
  <c r="D40" i="38"/>
  <c r="D41" i="38" s="1"/>
  <c r="AD39" i="38"/>
  <c r="G13" i="38"/>
  <c r="G15" i="38" s="1"/>
  <c r="U124" i="39" l="1"/>
  <c r="U93" i="39"/>
  <c r="Y51" i="39"/>
  <c r="X80" i="39"/>
  <c r="Y80" i="39"/>
  <c r="Y72" i="38"/>
  <c r="X72" i="38"/>
  <c r="W80" i="39"/>
  <c r="W118" i="39"/>
  <c r="W86" i="39"/>
  <c r="W103" i="39"/>
  <c r="W111" i="39"/>
  <c r="W85" i="39"/>
  <c r="W117" i="39"/>
  <c r="W78" i="39"/>
  <c r="AA81" i="39" s="1"/>
  <c r="W79" i="39"/>
  <c r="W83" i="39"/>
  <c r="W116" i="39"/>
  <c r="W112" i="39"/>
  <c r="S175" i="39" s="1"/>
  <c r="W81" i="39"/>
  <c r="W82" i="39"/>
  <c r="AA85" i="39" s="1"/>
  <c r="W114" i="39"/>
  <c r="W108" i="39"/>
  <c r="G140" i="39" s="1"/>
  <c r="W71" i="39"/>
  <c r="W105" i="39"/>
  <c r="AA105" i="39" s="1"/>
  <c r="W109" i="39"/>
  <c r="S172" i="39" s="1"/>
  <c r="W120" i="39"/>
  <c r="W72" i="39"/>
  <c r="AA72" i="39" s="1"/>
  <c r="AH72" i="39" s="1"/>
  <c r="W104" i="39"/>
  <c r="AA104" i="39" s="1"/>
  <c r="W73" i="39"/>
  <c r="AA73" i="39" s="1"/>
  <c r="W89" i="39"/>
  <c r="W74" i="39"/>
  <c r="W102" i="39"/>
  <c r="AD102" i="39" s="1"/>
  <c r="W106" i="39"/>
  <c r="W110" i="39"/>
  <c r="W88" i="39"/>
  <c r="W75" i="39"/>
  <c r="AA75" i="39" s="1"/>
  <c r="W87" i="39"/>
  <c r="W76" i="39"/>
  <c r="AA76" i="39" s="1"/>
  <c r="W77" i="39"/>
  <c r="W107" i="39"/>
  <c r="AA107" i="39" s="1"/>
  <c r="W84" i="39"/>
  <c r="AA84" i="39" s="1"/>
  <c r="W98" i="38"/>
  <c r="W81" i="38"/>
  <c r="W102" i="38"/>
  <c r="W69" i="38"/>
  <c r="W99" i="38"/>
  <c r="W70" i="38"/>
  <c r="W77" i="38"/>
  <c r="W96" i="38"/>
  <c r="W75" i="38"/>
  <c r="W73" i="38"/>
  <c r="Z139" i="38" s="1"/>
  <c r="W72" i="38"/>
  <c r="W97" i="38"/>
  <c r="W107" i="38"/>
  <c r="W71" i="38"/>
  <c r="W76" i="38"/>
  <c r="W100" i="38"/>
  <c r="W80" i="38"/>
  <c r="W94" i="38"/>
  <c r="W68" i="38"/>
  <c r="AA69" i="38" s="1"/>
  <c r="W79" i="38"/>
  <c r="W95" i="38"/>
  <c r="AA95" i="38" s="1"/>
  <c r="W78" i="38"/>
  <c r="AA78" i="38" s="1"/>
  <c r="P40" i="38"/>
  <c r="Y40" i="38" s="1"/>
  <c r="K119" i="39"/>
  <c r="G67" i="38"/>
  <c r="Q67" i="38" s="1"/>
  <c r="W67" i="38"/>
  <c r="AD67" i="38" s="1"/>
  <c r="W108" i="38"/>
  <c r="S163" i="38" s="1"/>
  <c r="G107" i="38"/>
  <c r="L107" i="38" s="1"/>
  <c r="W106" i="38"/>
  <c r="K42" i="38"/>
  <c r="P44" i="38"/>
  <c r="Y44" i="38" s="1"/>
  <c r="W105" i="38"/>
  <c r="W104" i="38"/>
  <c r="G132" i="38" s="1"/>
  <c r="G75" i="38"/>
  <c r="Q75" i="38" s="1"/>
  <c r="W74" i="38"/>
  <c r="AA76" i="38" s="1"/>
  <c r="G104" i="38"/>
  <c r="Q104" i="38" s="1"/>
  <c r="W103" i="38"/>
  <c r="G102" i="38"/>
  <c r="L102" i="38" s="1"/>
  <c r="W101" i="38"/>
  <c r="S156" i="38" s="1"/>
  <c r="AA90" i="39"/>
  <c r="AO90" i="39" s="1"/>
  <c r="G14" i="41" s="1"/>
  <c r="G121" i="39"/>
  <c r="Q121" i="39" s="1"/>
  <c r="W51" i="39"/>
  <c r="AA52" i="39" s="1"/>
  <c r="W113" i="39"/>
  <c r="G145" i="39" s="1"/>
  <c r="W119" i="39"/>
  <c r="G151" i="39" s="1"/>
  <c r="W115" i="39"/>
  <c r="S178" i="39" s="1"/>
  <c r="G119" i="39"/>
  <c r="Q119" i="39" s="1"/>
  <c r="P75" i="39"/>
  <c r="P71" i="39"/>
  <c r="P76" i="39"/>
  <c r="P72" i="39"/>
  <c r="G88" i="39"/>
  <c r="P46" i="39"/>
  <c r="G76" i="39"/>
  <c r="Q76" i="39" s="1"/>
  <c r="P41" i="39"/>
  <c r="Y41" i="39" s="1"/>
  <c r="P117" i="39"/>
  <c r="K77" i="39"/>
  <c r="K73" i="39"/>
  <c r="K114" i="39"/>
  <c r="P79" i="39"/>
  <c r="G54" i="39"/>
  <c r="L54" i="39" s="1"/>
  <c r="G86" i="39"/>
  <c r="L86" i="39" s="1"/>
  <c r="P115" i="39"/>
  <c r="G117" i="39"/>
  <c r="L117" i="39" s="1"/>
  <c r="P43" i="39"/>
  <c r="Y43" i="39" s="1"/>
  <c r="G114" i="39"/>
  <c r="L114" i="39" s="1"/>
  <c r="P49" i="39"/>
  <c r="Y49" i="39" s="1"/>
  <c r="K120" i="39"/>
  <c r="K118" i="39"/>
  <c r="K116" i="39"/>
  <c r="P121" i="39"/>
  <c r="P116" i="39"/>
  <c r="G120" i="39"/>
  <c r="L120" i="39" s="1"/>
  <c r="P50" i="39"/>
  <c r="G118" i="39"/>
  <c r="Q118" i="39" s="1"/>
  <c r="P120" i="39"/>
  <c r="K121" i="39"/>
  <c r="P119" i="39"/>
  <c r="P114" i="39"/>
  <c r="K117" i="39"/>
  <c r="K115" i="39"/>
  <c r="AA121" i="39"/>
  <c r="X183" i="39" s="1"/>
  <c r="G115" i="39"/>
  <c r="Q115" i="39" s="1"/>
  <c r="P118" i="39"/>
  <c r="G116" i="39"/>
  <c r="Q116" i="39" s="1"/>
  <c r="G113" i="39"/>
  <c r="L113" i="39" s="1"/>
  <c r="H40" i="39"/>
  <c r="G55" i="39"/>
  <c r="L55" i="39" s="1"/>
  <c r="G85" i="39"/>
  <c r="P107" i="39"/>
  <c r="K109" i="39"/>
  <c r="P85" i="39"/>
  <c r="G48" i="39"/>
  <c r="L48" i="39" s="1"/>
  <c r="G105" i="39"/>
  <c r="L105" i="39" s="1"/>
  <c r="G83" i="39"/>
  <c r="P89" i="39"/>
  <c r="G110" i="39"/>
  <c r="Q110" i="39" s="1"/>
  <c r="P111" i="39"/>
  <c r="P57" i="39"/>
  <c r="P86" i="39"/>
  <c r="P90" i="39"/>
  <c r="P74" i="39"/>
  <c r="P77" i="39"/>
  <c r="P81" i="39"/>
  <c r="K88" i="39"/>
  <c r="K84" i="39"/>
  <c r="K75" i="39"/>
  <c r="P78" i="39"/>
  <c r="P82" i="39"/>
  <c r="P102" i="39"/>
  <c r="K89" i="39"/>
  <c r="K85" i="39"/>
  <c r="P87" i="39"/>
  <c r="P83" i="39"/>
  <c r="P110" i="39"/>
  <c r="K90" i="39"/>
  <c r="K86" i="39"/>
  <c r="P88" i="39"/>
  <c r="P84" i="39"/>
  <c r="P73" i="39"/>
  <c r="K87" i="39"/>
  <c r="K83" i="39"/>
  <c r="G90" i="39"/>
  <c r="G87" i="39"/>
  <c r="G84" i="39"/>
  <c r="G89" i="39"/>
  <c r="G74" i="39"/>
  <c r="L74" i="39" s="1"/>
  <c r="G80" i="39"/>
  <c r="Q80" i="39" s="1"/>
  <c r="G134" i="39"/>
  <c r="G104" i="39"/>
  <c r="L104" i="39" s="1"/>
  <c r="AA59" i="39"/>
  <c r="AO59" i="39" s="1"/>
  <c r="G10" i="41" s="1"/>
  <c r="G47" i="39"/>
  <c r="L47" i="39" s="1"/>
  <c r="G53" i="39"/>
  <c r="AG71" i="39"/>
  <c r="P103" i="39"/>
  <c r="G52" i="39"/>
  <c r="AA56" i="39"/>
  <c r="AA48" i="39"/>
  <c r="G82" i="39"/>
  <c r="L82" i="39" s="1"/>
  <c r="K104" i="39"/>
  <c r="G57" i="39"/>
  <c r="AA74" i="39"/>
  <c r="AD70" i="39"/>
  <c r="P54" i="39"/>
  <c r="Y54" i="39" s="1"/>
  <c r="P59" i="39"/>
  <c r="Y59" i="39" s="1"/>
  <c r="P56" i="39"/>
  <c r="Y56" i="39" s="1"/>
  <c r="P53" i="39"/>
  <c r="Y53" i="39" s="1"/>
  <c r="P40" i="39"/>
  <c r="Y40" i="39" s="1"/>
  <c r="P58" i="39"/>
  <c r="Y58" i="39" s="1"/>
  <c r="P55" i="39"/>
  <c r="Y55" i="39" s="1"/>
  <c r="P45" i="39"/>
  <c r="Y45" i="39" s="1"/>
  <c r="P52" i="39"/>
  <c r="Y52" i="39" s="1"/>
  <c r="K57" i="39"/>
  <c r="K54" i="39"/>
  <c r="K59" i="39"/>
  <c r="K56" i="39"/>
  <c r="K53" i="39"/>
  <c r="K47" i="39"/>
  <c r="K58" i="39"/>
  <c r="K55" i="39"/>
  <c r="G59" i="39"/>
  <c r="G56" i="39"/>
  <c r="G58" i="39"/>
  <c r="G102" i="39"/>
  <c r="Q102" i="39" s="1"/>
  <c r="R102" i="39" s="1"/>
  <c r="G109" i="39"/>
  <c r="L109" i="39" s="1"/>
  <c r="G43" i="39"/>
  <c r="L43" i="39" s="1"/>
  <c r="K46" i="39"/>
  <c r="P47" i="39"/>
  <c r="Y47" i="39" s="1"/>
  <c r="K49" i="39"/>
  <c r="K79" i="39"/>
  <c r="K81" i="39"/>
  <c r="G72" i="39"/>
  <c r="G108" i="39"/>
  <c r="Q108" i="39" s="1"/>
  <c r="G40" i="39"/>
  <c r="L40" i="39" s="1"/>
  <c r="M40" i="39" s="1"/>
  <c r="D41" i="39"/>
  <c r="H41" i="39" s="1"/>
  <c r="K42" i="39"/>
  <c r="P44" i="39"/>
  <c r="Y44" i="39" s="1"/>
  <c r="H72" i="39"/>
  <c r="G107" i="39"/>
  <c r="G42" i="39"/>
  <c r="L42" i="39" s="1"/>
  <c r="P42" i="39"/>
  <c r="Y42" i="39" s="1"/>
  <c r="K71" i="39"/>
  <c r="G111" i="39"/>
  <c r="Q111" i="39" s="1"/>
  <c r="K40" i="39"/>
  <c r="K41" i="39"/>
  <c r="K48" i="39"/>
  <c r="S164" i="39"/>
  <c r="AD39" i="39"/>
  <c r="AA40" i="39"/>
  <c r="X164" i="39" s="1"/>
  <c r="G50" i="39"/>
  <c r="G51" i="39"/>
  <c r="G41" i="39"/>
  <c r="AA42" i="39"/>
  <c r="X166" i="39" s="1"/>
  <c r="G44" i="39"/>
  <c r="S166" i="39"/>
  <c r="G135" i="39"/>
  <c r="K51" i="39"/>
  <c r="K45" i="39"/>
  <c r="K44" i="39"/>
  <c r="K50" i="39"/>
  <c r="K43" i="39"/>
  <c r="S167" i="39"/>
  <c r="G136" i="39"/>
  <c r="AA41" i="39"/>
  <c r="X165" i="39" s="1"/>
  <c r="K103" i="39"/>
  <c r="G46" i="39"/>
  <c r="G78" i="39"/>
  <c r="G45" i="39"/>
  <c r="P48" i="39"/>
  <c r="Y48" i="39" s="1"/>
  <c r="X51" i="39"/>
  <c r="H71" i="39"/>
  <c r="AA71" i="39"/>
  <c r="AH71" i="39" s="1"/>
  <c r="G71" i="39"/>
  <c r="K108" i="39"/>
  <c r="D73" i="39"/>
  <c r="G49" i="39"/>
  <c r="G73" i="39"/>
  <c r="G77" i="39"/>
  <c r="P106" i="39"/>
  <c r="P105" i="39"/>
  <c r="K112" i="39"/>
  <c r="P113" i="39"/>
  <c r="AA82" i="39"/>
  <c r="K102" i="39"/>
  <c r="J124" i="39"/>
  <c r="G75" i="39"/>
  <c r="G79" i="39"/>
  <c r="G81" i="39"/>
  <c r="O124" i="39"/>
  <c r="K72" i="39"/>
  <c r="K74" i="39"/>
  <c r="K76" i="39"/>
  <c r="K78" i="39"/>
  <c r="K80" i="39"/>
  <c r="K82" i="39"/>
  <c r="H102" i="39"/>
  <c r="P109" i="39"/>
  <c r="K110" i="39"/>
  <c r="AA103" i="39"/>
  <c r="P104" i="39"/>
  <c r="S169" i="39"/>
  <c r="P108" i="39"/>
  <c r="P112" i="39"/>
  <c r="AD101" i="39"/>
  <c r="G106" i="39"/>
  <c r="L106" i="39" s="1"/>
  <c r="K107" i="39"/>
  <c r="K105" i="39"/>
  <c r="K106" i="39"/>
  <c r="K111" i="39"/>
  <c r="K113" i="39"/>
  <c r="G103" i="39"/>
  <c r="Q103" i="39" s="1"/>
  <c r="G112" i="39"/>
  <c r="Q112" i="39" s="1"/>
  <c r="K70" i="38"/>
  <c r="G108" i="38"/>
  <c r="Q108" i="38" s="1"/>
  <c r="P41" i="38"/>
  <c r="P45" i="38"/>
  <c r="G55" i="38"/>
  <c r="Q55" i="38" s="1"/>
  <c r="G77" i="38"/>
  <c r="L77" i="38" s="1"/>
  <c r="G103" i="38"/>
  <c r="Q103" i="38" s="1"/>
  <c r="P42" i="38"/>
  <c r="G50" i="38"/>
  <c r="Q50" i="38" s="1"/>
  <c r="G80" i="38"/>
  <c r="L80" i="38" s="1"/>
  <c r="AA55" i="38"/>
  <c r="AO55" i="38" s="1"/>
  <c r="F10" i="41" s="1"/>
  <c r="P108" i="38"/>
  <c r="P106" i="38"/>
  <c r="P104" i="38"/>
  <c r="P102" i="38"/>
  <c r="K108" i="38"/>
  <c r="K106" i="38"/>
  <c r="K104" i="38"/>
  <c r="K102" i="38"/>
  <c r="H94" i="38"/>
  <c r="G105" i="38"/>
  <c r="Q105" i="38" s="1"/>
  <c r="AA82" i="38"/>
  <c r="K82" i="38"/>
  <c r="P109" i="38"/>
  <c r="P107" i="38"/>
  <c r="P105" i="38"/>
  <c r="P103" i="38"/>
  <c r="AA109" i="38"/>
  <c r="X163" i="38" s="1"/>
  <c r="K109" i="38"/>
  <c r="K107" i="38"/>
  <c r="K105" i="38"/>
  <c r="K103" i="38"/>
  <c r="G78" i="38"/>
  <c r="L78" i="38" s="1"/>
  <c r="K78" i="38"/>
  <c r="L104" i="38"/>
  <c r="G109" i="38"/>
  <c r="Q109" i="38" s="1"/>
  <c r="G106" i="38"/>
  <c r="Q106" i="38" s="1"/>
  <c r="G94" i="38"/>
  <c r="L94" i="38" s="1"/>
  <c r="AD40" i="38"/>
  <c r="P47" i="38"/>
  <c r="P80" i="38"/>
  <c r="P76" i="38"/>
  <c r="X48" i="38"/>
  <c r="AA54" i="38"/>
  <c r="K40" i="38"/>
  <c r="K41" i="38"/>
  <c r="G76" i="38"/>
  <c r="P81" i="38"/>
  <c r="P77" i="38"/>
  <c r="AA48" i="38"/>
  <c r="K80" i="38"/>
  <c r="K76" i="38"/>
  <c r="P82" i="38"/>
  <c r="P78" i="38"/>
  <c r="K81" i="38"/>
  <c r="K77" i="38"/>
  <c r="P79" i="38"/>
  <c r="P75" i="38"/>
  <c r="P68" i="38"/>
  <c r="K79" i="38"/>
  <c r="G82" i="38"/>
  <c r="G79" i="38"/>
  <c r="G81" i="38"/>
  <c r="G72" i="38"/>
  <c r="Q72" i="38" s="1"/>
  <c r="K68" i="38"/>
  <c r="K72" i="38"/>
  <c r="K51" i="38"/>
  <c r="K54" i="38"/>
  <c r="P53" i="38"/>
  <c r="Y53" i="38" s="1"/>
  <c r="AA50" i="38"/>
  <c r="G74" i="38"/>
  <c r="Q74" i="38" s="1"/>
  <c r="G49" i="38"/>
  <c r="AG40" i="38"/>
  <c r="K47" i="38"/>
  <c r="G68" i="38"/>
  <c r="L68" i="38" s="1"/>
  <c r="G48" i="38"/>
  <c r="K53" i="38"/>
  <c r="H67" i="38"/>
  <c r="AA51" i="38"/>
  <c r="AA49" i="38"/>
  <c r="G53" i="38"/>
  <c r="AA52" i="38"/>
  <c r="AA53" i="38"/>
  <c r="P50" i="38"/>
  <c r="Y50" i="38" s="1"/>
  <c r="P46" i="38"/>
  <c r="P55" i="38"/>
  <c r="Y55" i="38" s="1"/>
  <c r="P43" i="38"/>
  <c r="Y43" i="38" s="1"/>
  <c r="P52" i="38"/>
  <c r="Y52" i="38" s="1"/>
  <c r="P49" i="38"/>
  <c r="Y49" i="38" s="1"/>
  <c r="P54" i="38"/>
  <c r="Y54" i="38" s="1"/>
  <c r="P51" i="38"/>
  <c r="Y51" i="38" s="1"/>
  <c r="K43" i="38"/>
  <c r="K50" i="38"/>
  <c r="K55" i="38"/>
  <c r="K46" i="38"/>
  <c r="K52" i="38"/>
  <c r="K44" i="38"/>
  <c r="K49" i="38"/>
  <c r="K45" i="38"/>
  <c r="G52" i="38"/>
  <c r="G54" i="38"/>
  <c r="G51" i="38"/>
  <c r="AG41" i="38"/>
  <c r="D42" i="38"/>
  <c r="H42" i="38" s="1"/>
  <c r="G45" i="38"/>
  <c r="Q45" i="38" s="1"/>
  <c r="AA67" i="38"/>
  <c r="AH67" i="38" s="1"/>
  <c r="AA41" i="38"/>
  <c r="AA42" i="38"/>
  <c r="X150" i="38" s="1"/>
  <c r="S152" i="38"/>
  <c r="G125" i="38"/>
  <c r="AA46" i="38"/>
  <c r="AA45" i="38"/>
  <c r="X153" i="38" s="1"/>
  <c r="S153" i="38"/>
  <c r="G126" i="38"/>
  <c r="G46" i="38"/>
  <c r="G73" i="38"/>
  <c r="AD94" i="38"/>
  <c r="G99" i="38"/>
  <c r="Q99" i="38" s="1"/>
  <c r="AA94" i="38"/>
  <c r="AD93" i="38"/>
  <c r="G42" i="38"/>
  <c r="G40" i="38"/>
  <c r="G47" i="38"/>
  <c r="D68" i="38"/>
  <c r="H68" i="38" s="1"/>
  <c r="AG67" i="38"/>
  <c r="AA44" i="38"/>
  <c r="X152" i="38" s="1"/>
  <c r="P101" i="38"/>
  <c r="S149" i="38"/>
  <c r="G122" i="38"/>
  <c r="H40" i="38"/>
  <c r="AA40" i="38"/>
  <c r="X148" i="38" s="1"/>
  <c r="AA47" i="38"/>
  <c r="AA43" i="38"/>
  <c r="X151" i="38" s="1"/>
  <c r="G44" i="38"/>
  <c r="AA72" i="38"/>
  <c r="G71" i="38"/>
  <c r="S150" i="38"/>
  <c r="G123" i="38"/>
  <c r="AD41" i="38"/>
  <c r="G41" i="38"/>
  <c r="G43" i="38"/>
  <c r="H41" i="38"/>
  <c r="S154" i="38"/>
  <c r="G127" i="38"/>
  <c r="G70" i="38"/>
  <c r="G69" i="38"/>
  <c r="G96" i="38"/>
  <c r="L96" i="38" s="1"/>
  <c r="G95" i="38"/>
  <c r="Q95" i="38" s="1"/>
  <c r="P70" i="38"/>
  <c r="K73" i="38"/>
  <c r="K71" i="38"/>
  <c r="K69" i="38"/>
  <c r="K67" i="38"/>
  <c r="G97" i="38"/>
  <c r="G98" i="38"/>
  <c r="Q98" i="38" s="1"/>
  <c r="K74" i="38"/>
  <c r="K95" i="38"/>
  <c r="K96" i="38"/>
  <c r="P98" i="38"/>
  <c r="S148" i="38"/>
  <c r="K94" i="38"/>
  <c r="J112" i="38"/>
  <c r="K97" i="38"/>
  <c r="K99" i="38"/>
  <c r="K100" i="38"/>
  <c r="P73" i="38"/>
  <c r="P71" i="38"/>
  <c r="P69" i="38"/>
  <c r="P67" i="38"/>
  <c r="P99" i="38"/>
  <c r="P95" i="38"/>
  <c r="P74" i="38"/>
  <c r="K101" i="38"/>
  <c r="P94" i="38"/>
  <c r="P97" i="38"/>
  <c r="G128" i="38"/>
  <c r="S155" i="38"/>
  <c r="O112" i="38"/>
  <c r="P96" i="38"/>
  <c r="H95" i="38"/>
  <c r="AG94" i="38"/>
  <c r="G100" i="38"/>
  <c r="L100" i="38" s="1"/>
  <c r="G101" i="38"/>
  <c r="L101" i="38" s="1"/>
  <c r="K98" i="38"/>
  <c r="P100" i="38"/>
  <c r="T123" i="37"/>
  <c r="T122" i="37"/>
  <c r="T121" i="37"/>
  <c r="T120" i="37"/>
  <c r="T119" i="37"/>
  <c r="T118" i="37"/>
  <c r="T117" i="37"/>
  <c r="R116" i="37"/>
  <c r="T104" i="37"/>
  <c r="S104" i="37"/>
  <c r="P104" i="37"/>
  <c r="L104" i="37"/>
  <c r="K104" i="37"/>
  <c r="F104" i="37"/>
  <c r="P103" i="37"/>
  <c r="F103" i="37"/>
  <c r="T102" i="37"/>
  <c r="S102" i="37"/>
  <c r="P102" i="37"/>
  <c r="L102" i="37"/>
  <c r="K102" i="37"/>
  <c r="F102" i="37"/>
  <c r="P101" i="37"/>
  <c r="F101" i="37"/>
  <c r="T100" i="37"/>
  <c r="S100" i="37"/>
  <c r="P100" i="37"/>
  <c r="L100" i="37"/>
  <c r="K100" i="37"/>
  <c r="F100" i="37"/>
  <c r="T99" i="37"/>
  <c r="S99" i="37"/>
  <c r="P99" i="37"/>
  <c r="L99" i="37"/>
  <c r="K99" i="37"/>
  <c r="F99" i="37"/>
  <c r="P98" i="37"/>
  <c r="F98" i="37"/>
  <c r="W97" i="37"/>
  <c r="T97" i="37"/>
  <c r="S97" i="37"/>
  <c r="O97" i="37"/>
  <c r="L97" i="37"/>
  <c r="K97" i="37"/>
  <c r="E97" i="37"/>
  <c r="O85" i="37"/>
  <c r="J85" i="37"/>
  <c r="F85" i="37"/>
  <c r="O84" i="37"/>
  <c r="J84" i="37"/>
  <c r="F84" i="37"/>
  <c r="O83" i="37"/>
  <c r="J83" i="37"/>
  <c r="F83" i="37"/>
  <c r="O82" i="37"/>
  <c r="J82" i="37"/>
  <c r="F82" i="37"/>
  <c r="O81" i="37"/>
  <c r="J81" i="37"/>
  <c r="F81" i="37"/>
  <c r="O80" i="37"/>
  <c r="J80" i="37"/>
  <c r="F80" i="37"/>
  <c r="O79" i="37"/>
  <c r="J79" i="37"/>
  <c r="F79" i="37"/>
  <c r="O78" i="37"/>
  <c r="J78" i="37"/>
  <c r="F78" i="37"/>
  <c r="AD77" i="37"/>
  <c r="O69" i="37"/>
  <c r="P66" i="37" s="1"/>
  <c r="J69" i="37"/>
  <c r="F66" i="37"/>
  <c r="F65" i="37"/>
  <c r="F64" i="37"/>
  <c r="F63" i="37"/>
  <c r="F62" i="37"/>
  <c r="F61" i="37"/>
  <c r="F60" i="37"/>
  <c r="F59" i="37"/>
  <c r="D59" i="37"/>
  <c r="AD58" i="37"/>
  <c r="O50" i="37"/>
  <c r="P46" i="37" s="1"/>
  <c r="J50" i="37"/>
  <c r="F47" i="37"/>
  <c r="F46" i="37"/>
  <c r="W46" i="37" s="1"/>
  <c r="F45" i="37"/>
  <c r="W45" i="37" s="1"/>
  <c r="F44" i="37"/>
  <c r="W44" i="37" s="1"/>
  <c r="F43" i="37"/>
  <c r="W43" i="37" s="1"/>
  <c r="F42" i="37"/>
  <c r="W42" i="37" s="1"/>
  <c r="F41" i="37"/>
  <c r="W41" i="37" s="1"/>
  <c r="F40" i="37"/>
  <c r="W40" i="37" s="1"/>
  <c r="D40" i="37"/>
  <c r="D41" i="37" s="1"/>
  <c r="AA77" i="39" l="1"/>
  <c r="AB77" i="39" s="1"/>
  <c r="Z155" i="39"/>
  <c r="Y88" i="39"/>
  <c r="X88" i="39"/>
  <c r="X110" i="39"/>
  <c r="Y110" i="39"/>
  <c r="Y77" i="39"/>
  <c r="X77" i="39"/>
  <c r="Y114" i="39"/>
  <c r="X114" i="39"/>
  <c r="X113" i="39"/>
  <c r="Y113" i="39"/>
  <c r="X83" i="39"/>
  <c r="Y83" i="39"/>
  <c r="X74" i="39"/>
  <c r="Y74" i="39"/>
  <c r="X107" i="39"/>
  <c r="Y107" i="39"/>
  <c r="X119" i="39"/>
  <c r="Y119" i="39"/>
  <c r="Y87" i="39"/>
  <c r="X87" i="39"/>
  <c r="Y90" i="39"/>
  <c r="X90" i="39"/>
  <c r="X46" i="39"/>
  <c r="Y46" i="39"/>
  <c r="X105" i="39"/>
  <c r="Y105" i="39"/>
  <c r="X86" i="39"/>
  <c r="Y86" i="39"/>
  <c r="X120" i="39"/>
  <c r="Y120" i="39"/>
  <c r="X109" i="39"/>
  <c r="Y109" i="39"/>
  <c r="X112" i="39"/>
  <c r="Y112" i="39"/>
  <c r="X106" i="39"/>
  <c r="Y106" i="39"/>
  <c r="X103" i="39"/>
  <c r="Y103" i="39"/>
  <c r="AF103" i="39" s="1"/>
  <c r="X57" i="39"/>
  <c r="Y57" i="39"/>
  <c r="X115" i="39"/>
  <c r="I146" i="39" s="1"/>
  <c r="Y115" i="39"/>
  <c r="X72" i="39"/>
  <c r="AE72" i="39" s="1"/>
  <c r="Y72" i="39"/>
  <c r="AF72" i="39" s="1"/>
  <c r="X108" i="39"/>
  <c r="Y108" i="39"/>
  <c r="X102" i="39"/>
  <c r="Y102" i="39"/>
  <c r="Y111" i="39"/>
  <c r="X111" i="39"/>
  <c r="X50" i="39"/>
  <c r="Y50" i="39"/>
  <c r="Y76" i="39"/>
  <c r="X76" i="39"/>
  <c r="X85" i="39"/>
  <c r="Y85" i="39"/>
  <c r="X117" i="39"/>
  <c r="I148" i="39" s="1"/>
  <c r="Y117" i="39"/>
  <c r="Y82" i="39"/>
  <c r="AB82" i="39" s="1"/>
  <c r="X82" i="39"/>
  <c r="Y71" i="39"/>
  <c r="AF71" i="39" s="1"/>
  <c r="X71" i="39"/>
  <c r="AE71" i="39" s="1"/>
  <c r="X81" i="39"/>
  <c r="Y81" i="39"/>
  <c r="X104" i="39"/>
  <c r="Y104" i="39"/>
  <c r="X73" i="39"/>
  <c r="AE73" i="39" s="1"/>
  <c r="Y73" i="39"/>
  <c r="Y78" i="39"/>
  <c r="X78" i="39"/>
  <c r="Y89" i="39"/>
  <c r="X89" i="39"/>
  <c r="X118" i="39"/>
  <c r="Y118" i="39"/>
  <c r="X116" i="39"/>
  <c r="Y116" i="39"/>
  <c r="Y79" i="39"/>
  <c r="X79" i="39"/>
  <c r="Y75" i="39"/>
  <c r="X75" i="39"/>
  <c r="X84" i="39"/>
  <c r="Y84" i="39"/>
  <c r="X121" i="39"/>
  <c r="Y121" i="39"/>
  <c r="X73" i="38"/>
  <c r="Y73" i="38"/>
  <c r="AA96" i="38"/>
  <c r="AH96" i="38" s="1"/>
  <c r="X68" i="38"/>
  <c r="Y68" i="38"/>
  <c r="X81" i="38"/>
  <c r="Y81" i="38"/>
  <c r="X109" i="38"/>
  <c r="Y109" i="38"/>
  <c r="X108" i="38"/>
  <c r="Y108" i="38"/>
  <c r="X97" i="38"/>
  <c r="Y97" i="38"/>
  <c r="X101" i="38"/>
  <c r="Y101" i="38"/>
  <c r="X42" i="38"/>
  <c r="Y42" i="38"/>
  <c r="AF42" i="38" s="1"/>
  <c r="Y79" i="38"/>
  <c r="X79" i="38"/>
  <c r="X94" i="38"/>
  <c r="Y94" i="38"/>
  <c r="X100" i="38"/>
  <c r="Y100" i="38"/>
  <c r="X70" i="38"/>
  <c r="Y70" i="38"/>
  <c r="Y78" i="38"/>
  <c r="X78" i="38"/>
  <c r="X74" i="38"/>
  <c r="Y74" i="38"/>
  <c r="X82" i="38"/>
  <c r="Y82" i="38"/>
  <c r="Y76" i="38"/>
  <c r="X76" i="38"/>
  <c r="X80" i="38"/>
  <c r="Y80" i="38"/>
  <c r="X47" i="38"/>
  <c r="Y47" i="38"/>
  <c r="X45" i="38"/>
  <c r="Y45" i="38"/>
  <c r="X98" i="38"/>
  <c r="Y98" i="38"/>
  <c r="X67" i="38"/>
  <c r="Y67" i="38"/>
  <c r="Y103" i="38"/>
  <c r="X103" i="38"/>
  <c r="X102" i="38"/>
  <c r="Y102" i="38"/>
  <c r="X41" i="38"/>
  <c r="Y41" i="38"/>
  <c r="Y75" i="38"/>
  <c r="X75" i="38"/>
  <c r="Y95" i="38"/>
  <c r="X95" i="38"/>
  <c r="X99" i="38"/>
  <c r="Y99" i="38"/>
  <c r="X69" i="38"/>
  <c r="Y69" i="38"/>
  <c r="X46" i="38"/>
  <c r="Y46" i="38"/>
  <c r="X105" i="38"/>
  <c r="Y105" i="38"/>
  <c r="X104" i="38"/>
  <c r="Y104" i="38"/>
  <c r="X96" i="38"/>
  <c r="Y96" i="38"/>
  <c r="Y71" i="38"/>
  <c r="X71" i="38"/>
  <c r="Y77" i="38"/>
  <c r="X77" i="38"/>
  <c r="Y107" i="38"/>
  <c r="X107" i="38"/>
  <c r="X106" i="38"/>
  <c r="Y106" i="38"/>
  <c r="Y46" i="37"/>
  <c r="Y66" i="37"/>
  <c r="X66" i="37"/>
  <c r="AD72" i="39"/>
  <c r="AA68" i="38"/>
  <c r="AH68" i="38" s="1"/>
  <c r="AA108" i="38"/>
  <c r="X162" i="38" s="1"/>
  <c r="AA83" i="39"/>
  <c r="AA79" i="39"/>
  <c r="AA80" i="39"/>
  <c r="AB80" i="39" s="1"/>
  <c r="AA78" i="39"/>
  <c r="L67" i="38"/>
  <c r="W64" i="37"/>
  <c r="AA64" i="37" s="1"/>
  <c r="W65" i="37"/>
  <c r="Z107" i="37" s="1"/>
  <c r="W84" i="37"/>
  <c r="AA84" i="37" s="1"/>
  <c r="X122" i="37" s="1"/>
  <c r="W59" i="37"/>
  <c r="AA59" i="37" s="1"/>
  <c r="W82" i="37"/>
  <c r="W79" i="37"/>
  <c r="W60" i="37"/>
  <c r="AA60" i="37" s="1"/>
  <c r="W81" i="37"/>
  <c r="W80" i="37"/>
  <c r="AA80" i="37" s="1"/>
  <c r="W61" i="37"/>
  <c r="AA61" i="37" s="1"/>
  <c r="W62" i="37"/>
  <c r="W83" i="37"/>
  <c r="W63" i="37"/>
  <c r="W78" i="37"/>
  <c r="AA78" i="37" s="1"/>
  <c r="AH41" i="38"/>
  <c r="X149" i="38"/>
  <c r="AF41" i="38"/>
  <c r="X40" i="38"/>
  <c r="AE40" i="38" s="1"/>
  <c r="L103" i="38"/>
  <c r="Q78" i="38"/>
  <c r="L75" i="38"/>
  <c r="AA105" i="38"/>
  <c r="S159" i="38"/>
  <c r="X44" i="38"/>
  <c r="I125" i="38" s="1"/>
  <c r="Q102" i="38"/>
  <c r="Q80" i="38"/>
  <c r="Q107" i="38"/>
  <c r="L108" i="38"/>
  <c r="G136" i="38"/>
  <c r="S160" i="38"/>
  <c r="G133" i="38"/>
  <c r="AA107" i="38"/>
  <c r="X161" i="38" s="1"/>
  <c r="AA106" i="38"/>
  <c r="X160" i="38" s="1"/>
  <c r="L76" i="39"/>
  <c r="L119" i="39"/>
  <c r="I142" i="39"/>
  <c r="Q120" i="39"/>
  <c r="AA116" i="39"/>
  <c r="AA114" i="39"/>
  <c r="X176" i="39" s="1"/>
  <c r="L121" i="39"/>
  <c r="AA54" i="39"/>
  <c r="AA53" i="39"/>
  <c r="G147" i="39"/>
  <c r="AA51" i="39"/>
  <c r="AB51" i="39" s="1"/>
  <c r="S176" i="39"/>
  <c r="AA113" i="39"/>
  <c r="X175" i="39" s="1"/>
  <c r="Q48" i="39"/>
  <c r="AA115" i="39"/>
  <c r="AB81" i="39"/>
  <c r="S182" i="39"/>
  <c r="Q86" i="39"/>
  <c r="Q47" i="39"/>
  <c r="AB107" i="39"/>
  <c r="AA106" i="39"/>
  <c r="AA88" i="39"/>
  <c r="AA102" i="39"/>
  <c r="AH102" i="39" s="1"/>
  <c r="AA108" i="39"/>
  <c r="X170" i="39" s="1"/>
  <c r="AD40" i="39"/>
  <c r="S165" i="39"/>
  <c r="L115" i="39"/>
  <c r="G138" i="39"/>
  <c r="Q113" i="39"/>
  <c r="L116" i="39"/>
  <c r="X41" i="39"/>
  <c r="AB41" i="39" s="1"/>
  <c r="X49" i="39"/>
  <c r="X43" i="39"/>
  <c r="I136" i="39" s="1"/>
  <c r="Q114" i="39"/>
  <c r="G149" i="39"/>
  <c r="S180" i="39"/>
  <c r="L118" i="39"/>
  <c r="L80" i="39"/>
  <c r="G152" i="39"/>
  <c r="S183" i="39"/>
  <c r="G146" i="39"/>
  <c r="S177" i="39"/>
  <c r="L88" i="39"/>
  <c r="Q88" i="39"/>
  <c r="G150" i="39"/>
  <c r="S181" i="39"/>
  <c r="G148" i="39"/>
  <c r="S179" i="39"/>
  <c r="J152" i="39"/>
  <c r="Q109" i="39"/>
  <c r="Q74" i="39"/>
  <c r="Q43" i="39"/>
  <c r="Q117" i="39"/>
  <c r="Q54" i="39"/>
  <c r="AO121" i="39"/>
  <c r="G18" i="41" s="1"/>
  <c r="AA49" i="39"/>
  <c r="Q104" i="39"/>
  <c r="AA120" i="39"/>
  <c r="X182" i="39" s="1"/>
  <c r="AA117" i="39"/>
  <c r="X179" i="39" s="1"/>
  <c r="AA50" i="39"/>
  <c r="AA119" i="39"/>
  <c r="X181" i="39" s="1"/>
  <c r="AA118" i="39"/>
  <c r="X180" i="39" s="1"/>
  <c r="L108" i="39"/>
  <c r="Q55" i="39"/>
  <c r="AA89" i="39"/>
  <c r="AA87" i="39"/>
  <c r="AA111" i="39"/>
  <c r="X173" i="39" s="1"/>
  <c r="Q42" i="39"/>
  <c r="L89" i="39"/>
  <c r="Q89" i="39"/>
  <c r="L110" i="39"/>
  <c r="L84" i="39"/>
  <c r="Q84" i="39"/>
  <c r="AH103" i="39"/>
  <c r="L102" i="39"/>
  <c r="M102" i="39" s="1"/>
  <c r="AF40" i="39"/>
  <c r="AA47" i="39"/>
  <c r="L87" i="39"/>
  <c r="Q87" i="39"/>
  <c r="Q83" i="39"/>
  <c r="L83" i="39"/>
  <c r="Q90" i="39"/>
  <c r="L90" i="39"/>
  <c r="AA86" i="39"/>
  <c r="Q105" i="39"/>
  <c r="AF73" i="39"/>
  <c r="L85" i="39"/>
  <c r="Q85" i="39"/>
  <c r="I141" i="39"/>
  <c r="X58" i="39"/>
  <c r="L111" i="39"/>
  <c r="AD103" i="39"/>
  <c r="Q40" i="39"/>
  <c r="R40" i="39" s="1"/>
  <c r="AD41" i="39"/>
  <c r="Q58" i="39"/>
  <c r="L58" i="39"/>
  <c r="L56" i="39"/>
  <c r="Q56" i="39"/>
  <c r="X53" i="39"/>
  <c r="R103" i="39"/>
  <c r="X42" i="39"/>
  <c r="AB42" i="39" s="1"/>
  <c r="Q82" i="39"/>
  <c r="L59" i="39"/>
  <c r="Q59" i="39"/>
  <c r="X59" i="39"/>
  <c r="Q57" i="39"/>
  <c r="L57" i="39"/>
  <c r="Q52" i="39"/>
  <c r="L52" i="39"/>
  <c r="AA58" i="39"/>
  <c r="X56" i="39"/>
  <c r="X44" i="39"/>
  <c r="I137" i="39" s="1"/>
  <c r="X40" i="39"/>
  <c r="AE40" i="39" s="1"/>
  <c r="X52" i="39"/>
  <c r="X54" i="39"/>
  <c r="Q53" i="39"/>
  <c r="L53" i="39"/>
  <c r="AF41" i="39"/>
  <c r="AA55" i="39"/>
  <c r="X55" i="39"/>
  <c r="AA57" i="39"/>
  <c r="G141" i="39"/>
  <c r="AA109" i="39"/>
  <c r="X171" i="39" s="1"/>
  <c r="AA112" i="39"/>
  <c r="X174" i="39" s="1"/>
  <c r="AA110" i="39"/>
  <c r="S171" i="39"/>
  <c r="G144" i="39"/>
  <c r="X45" i="39"/>
  <c r="I138" i="39" s="1"/>
  <c r="W62" i="39"/>
  <c r="K93" i="39"/>
  <c r="P62" i="39"/>
  <c r="X47" i="39"/>
  <c r="D42" i="39"/>
  <c r="AG41" i="39"/>
  <c r="AH73" i="39"/>
  <c r="L72" i="39"/>
  <c r="M72" i="39" s="1"/>
  <c r="Q72" i="39"/>
  <c r="R72" i="39" s="1"/>
  <c r="K62" i="39"/>
  <c r="L107" i="39"/>
  <c r="Q107" i="39"/>
  <c r="Q81" i="39"/>
  <c r="L81" i="39"/>
  <c r="K124" i="39"/>
  <c r="Q73" i="39"/>
  <c r="R73" i="39" s="1"/>
  <c r="L73" i="39"/>
  <c r="M73" i="39" s="1"/>
  <c r="AG73" i="39"/>
  <c r="D74" i="39"/>
  <c r="AF74" i="39" s="1"/>
  <c r="AD73" i="39"/>
  <c r="S173" i="39"/>
  <c r="G142" i="39"/>
  <c r="H73" i="39"/>
  <c r="AA43" i="39"/>
  <c r="X167" i="39" s="1"/>
  <c r="AA46" i="39"/>
  <c r="J135" i="39"/>
  <c r="L51" i="39"/>
  <c r="Q51" i="39"/>
  <c r="Q75" i="39"/>
  <c r="L75" i="39"/>
  <c r="W93" i="39"/>
  <c r="AD71" i="39"/>
  <c r="L46" i="39"/>
  <c r="Q46" i="39"/>
  <c r="Q106" i="39"/>
  <c r="Q49" i="39"/>
  <c r="L49" i="39"/>
  <c r="G137" i="39"/>
  <c r="S168" i="39"/>
  <c r="AA44" i="39"/>
  <c r="X168" i="39" s="1"/>
  <c r="L44" i="39"/>
  <c r="Q44" i="39"/>
  <c r="S174" i="39"/>
  <c r="G143" i="39"/>
  <c r="W124" i="39"/>
  <c r="AE103" i="39"/>
  <c r="L103" i="39"/>
  <c r="M103" i="39" s="1"/>
  <c r="J134" i="39"/>
  <c r="AH41" i="39"/>
  <c r="Q41" i="39"/>
  <c r="R41" i="39" s="1"/>
  <c r="L41" i="39"/>
  <c r="J133" i="39"/>
  <c r="AH40" i="39"/>
  <c r="Q79" i="39"/>
  <c r="L79" i="39"/>
  <c r="Q50" i="39"/>
  <c r="L50" i="39"/>
  <c r="P93" i="39"/>
  <c r="Q77" i="39"/>
  <c r="L77" i="39"/>
  <c r="X48" i="39"/>
  <c r="Q78" i="39"/>
  <c r="L78" i="39"/>
  <c r="AB76" i="39"/>
  <c r="S170" i="39"/>
  <c r="G139" i="39"/>
  <c r="P124" i="39"/>
  <c r="H103" i="39"/>
  <c r="AH104" i="39"/>
  <c r="AG103" i="39"/>
  <c r="AF102" i="39"/>
  <c r="L112" i="39"/>
  <c r="Q71" i="39"/>
  <c r="L71" i="39"/>
  <c r="Q45" i="39"/>
  <c r="L45" i="39"/>
  <c r="AA45" i="39"/>
  <c r="X169" i="39" s="1"/>
  <c r="G130" i="38"/>
  <c r="S157" i="38"/>
  <c r="G131" i="38"/>
  <c r="S158" i="38"/>
  <c r="AB47" i="38"/>
  <c r="G134" i="38"/>
  <c r="S161" i="38"/>
  <c r="G135" i="38"/>
  <c r="S162" i="38"/>
  <c r="J136" i="38"/>
  <c r="Q96" i="38"/>
  <c r="I126" i="38"/>
  <c r="L50" i="38"/>
  <c r="AA102" i="38"/>
  <c r="X156" i="38" s="1"/>
  <c r="G129" i="38"/>
  <c r="L55" i="38"/>
  <c r="AF40" i="38"/>
  <c r="Q77" i="38"/>
  <c r="L106" i="38"/>
  <c r="D43" i="38"/>
  <c r="AD43" i="38" s="1"/>
  <c r="L105" i="38"/>
  <c r="AA103" i="38"/>
  <c r="X157" i="38" s="1"/>
  <c r="L109" i="38"/>
  <c r="X43" i="38"/>
  <c r="I124" i="38" s="1"/>
  <c r="AA80" i="38"/>
  <c r="AA77" i="38"/>
  <c r="AA75" i="38"/>
  <c r="L74" i="38"/>
  <c r="AA104" i="38"/>
  <c r="X158" i="38" s="1"/>
  <c r="AB48" i="38"/>
  <c r="Q94" i="38"/>
  <c r="R94" i="38" s="1"/>
  <c r="AO54" i="38"/>
  <c r="L81" i="38"/>
  <c r="Q81" i="38"/>
  <c r="AA81" i="38"/>
  <c r="AO81" i="38" s="1"/>
  <c r="AA79" i="38"/>
  <c r="L76" i="38"/>
  <c r="Q76" i="38"/>
  <c r="AD68" i="38"/>
  <c r="L72" i="38"/>
  <c r="AH95" i="38"/>
  <c r="L79" i="38"/>
  <c r="Q79" i="38"/>
  <c r="Q68" i="38"/>
  <c r="R68" i="38" s="1"/>
  <c r="Q82" i="38"/>
  <c r="L82" i="38"/>
  <c r="AF68" i="38"/>
  <c r="AO49" i="38"/>
  <c r="AO48" i="38"/>
  <c r="L99" i="38"/>
  <c r="L51" i="38"/>
  <c r="Q51" i="38"/>
  <c r="Q48" i="38"/>
  <c r="L48" i="38"/>
  <c r="AG42" i="38"/>
  <c r="Q54" i="38"/>
  <c r="L54" i="38"/>
  <c r="X55" i="38"/>
  <c r="Q49" i="38"/>
  <c r="L49" i="38"/>
  <c r="X52" i="38"/>
  <c r="L45" i="38"/>
  <c r="Q101" i="38"/>
  <c r="L52" i="38"/>
  <c r="Q52" i="38"/>
  <c r="K58" i="38"/>
  <c r="X50" i="38"/>
  <c r="X51" i="38"/>
  <c r="AO51" i="38"/>
  <c r="X53" i="38"/>
  <c r="X54" i="38"/>
  <c r="L53" i="38"/>
  <c r="Q53" i="38"/>
  <c r="X49" i="38"/>
  <c r="AO53" i="38"/>
  <c r="AO52" i="38"/>
  <c r="AO50" i="38"/>
  <c r="P58" i="38"/>
  <c r="R95" i="38"/>
  <c r="AA74" i="38"/>
  <c r="L98" i="38"/>
  <c r="J123" i="38"/>
  <c r="J122" i="38"/>
  <c r="AA70" i="38"/>
  <c r="AA71" i="38"/>
  <c r="W85" i="38"/>
  <c r="W58" i="38"/>
  <c r="AH42" i="38"/>
  <c r="AO45" i="38"/>
  <c r="AD95" i="38"/>
  <c r="AO82" i="38"/>
  <c r="F14" i="41" s="1"/>
  <c r="M68" i="38"/>
  <c r="AA101" i="38"/>
  <c r="X155" i="38" s="1"/>
  <c r="AG95" i="38"/>
  <c r="P85" i="38"/>
  <c r="K85" i="38"/>
  <c r="M67" i="38"/>
  <c r="Q44" i="38"/>
  <c r="L44" i="38"/>
  <c r="J125" i="38"/>
  <c r="I121" i="38"/>
  <c r="AH94" i="38"/>
  <c r="Q73" i="38"/>
  <c r="L73" i="38"/>
  <c r="AO39" i="38"/>
  <c r="AO41" i="38"/>
  <c r="J121" i="38"/>
  <c r="AA58" i="38"/>
  <c r="AH40" i="38"/>
  <c r="AO44" i="38"/>
  <c r="Q42" i="38"/>
  <c r="R42" i="38" s="1"/>
  <c r="L42" i="38"/>
  <c r="M42" i="38" s="1"/>
  <c r="AO43" i="38"/>
  <c r="Q100" i="38"/>
  <c r="AA100" i="38"/>
  <c r="X154" i="38" s="1"/>
  <c r="Q70" i="38"/>
  <c r="L70" i="38"/>
  <c r="L71" i="38"/>
  <c r="Q71" i="38"/>
  <c r="R67" i="38"/>
  <c r="J124" i="38"/>
  <c r="AO40" i="38"/>
  <c r="L47" i="38"/>
  <c r="Q47" i="38"/>
  <c r="Q46" i="38"/>
  <c r="L46" i="38"/>
  <c r="P112" i="38"/>
  <c r="K112" i="38"/>
  <c r="AA99" i="38"/>
  <c r="L43" i="38"/>
  <c r="Q43" i="38"/>
  <c r="AA73" i="38"/>
  <c r="AO46" i="38"/>
  <c r="I122" i="38"/>
  <c r="AE41" i="38"/>
  <c r="AE68" i="38"/>
  <c r="W112" i="38"/>
  <c r="AO109" i="38"/>
  <c r="F18" i="41" s="1"/>
  <c r="L97" i="38"/>
  <c r="Q97" i="38"/>
  <c r="AB72" i="38"/>
  <c r="L41" i="38"/>
  <c r="M41" i="38" s="1"/>
  <c r="Q41" i="38"/>
  <c r="R41" i="38" s="1"/>
  <c r="L95" i="38"/>
  <c r="M95" i="38" s="1"/>
  <c r="Q40" i="38"/>
  <c r="L40" i="38"/>
  <c r="AA97" i="38"/>
  <c r="D69" i="38"/>
  <c r="AG68" i="38"/>
  <c r="AA98" i="38"/>
  <c r="AO47" i="38"/>
  <c r="S151" i="38"/>
  <c r="G124" i="38"/>
  <c r="AD42" i="38"/>
  <c r="AO42" i="38"/>
  <c r="J126" i="38"/>
  <c r="AE95" i="38"/>
  <c r="AF95" i="38"/>
  <c r="M94" i="38"/>
  <c r="L69" i="38"/>
  <c r="Q69" i="38"/>
  <c r="AE42" i="38"/>
  <c r="J127" i="38"/>
  <c r="P47" i="37"/>
  <c r="Y47" i="37" s="1"/>
  <c r="G83" i="37"/>
  <c r="L83" i="37" s="1"/>
  <c r="G41" i="37"/>
  <c r="Q41" i="37" s="1"/>
  <c r="R41" i="37" s="1"/>
  <c r="K61" i="37"/>
  <c r="K62" i="37"/>
  <c r="K59" i="37"/>
  <c r="P82" i="37"/>
  <c r="Y82" i="37" s="1"/>
  <c r="AG40" i="37"/>
  <c r="P64" i="37"/>
  <c r="Y64" i="37" s="1"/>
  <c r="AA42" i="37"/>
  <c r="P61" i="37"/>
  <c r="Y61" i="37" s="1"/>
  <c r="G85" i="37"/>
  <c r="Q85" i="37" s="1"/>
  <c r="G63" i="37"/>
  <c r="L63" i="37" s="1"/>
  <c r="H40" i="37"/>
  <c r="AD40" i="37"/>
  <c r="P59" i="37"/>
  <c r="Y59" i="37" s="1"/>
  <c r="P62" i="37"/>
  <c r="Y62" i="37" s="1"/>
  <c r="P65" i="37"/>
  <c r="Y65" i="37" s="1"/>
  <c r="G40" i="37"/>
  <c r="Q40" i="37" s="1"/>
  <c r="R40" i="37" s="1"/>
  <c r="P60" i="37"/>
  <c r="Y60" i="37" s="1"/>
  <c r="AA41" i="37"/>
  <c r="K46" i="37"/>
  <c r="P63" i="37"/>
  <c r="Y63" i="37" s="1"/>
  <c r="K80" i="37"/>
  <c r="P85" i="37"/>
  <c r="Y85" i="37" s="1"/>
  <c r="P78" i="37"/>
  <c r="Y78" i="37" s="1"/>
  <c r="G42" i="37"/>
  <c r="L42" i="37" s="1"/>
  <c r="G61" i="37"/>
  <c r="Q61" i="37" s="1"/>
  <c r="K40" i="37"/>
  <c r="K42" i="37"/>
  <c r="K44" i="37"/>
  <c r="K47" i="37"/>
  <c r="G44" i="37"/>
  <c r="L44" i="37" s="1"/>
  <c r="S121" i="37"/>
  <c r="P40" i="37"/>
  <c r="Y40" i="37" s="1"/>
  <c r="K45" i="37"/>
  <c r="K60" i="37"/>
  <c r="P83" i="37"/>
  <c r="Y83" i="37" s="1"/>
  <c r="G45" i="37"/>
  <c r="L45" i="37" s="1"/>
  <c r="P45" i="37"/>
  <c r="Y45" i="37" s="1"/>
  <c r="K79" i="37"/>
  <c r="K81" i="37"/>
  <c r="K41" i="37"/>
  <c r="K43" i="37"/>
  <c r="G62" i="37"/>
  <c r="K63" i="37"/>
  <c r="K65" i="37"/>
  <c r="G47" i="37"/>
  <c r="G46" i="37"/>
  <c r="AA43" i="37"/>
  <c r="G43" i="37"/>
  <c r="G60" i="37"/>
  <c r="H59" i="37"/>
  <c r="G59" i="37"/>
  <c r="X46" i="37"/>
  <c r="AG41" i="37"/>
  <c r="D42" i="37"/>
  <c r="S116" i="37"/>
  <c r="AA40" i="37"/>
  <c r="X116" i="37" s="1"/>
  <c r="AD39" i="37"/>
  <c r="H41" i="37"/>
  <c r="P41" i="37"/>
  <c r="Y41" i="37" s="1"/>
  <c r="AD41" i="37"/>
  <c r="G64" i="37"/>
  <c r="P42" i="37"/>
  <c r="Y42" i="37" s="1"/>
  <c r="G65" i="37"/>
  <c r="P43" i="37"/>
  <c r="Y43" i="37" s="1"/>
  <c r="D60" i="37"/>
  <c r="S118" i="37"/>
  <c r="G99" i="37"/>
  <c r="P44" i="37"/>
  <c r="Y44" i="37" s="1"/>
  <c r="AG59" i="37"/>
  <c r="P81" i="37"/>
  <c r="Y81" i="37" s="1"/>
  <c r="G66" i="37"/>
  <c r="H79" i="37"/>
  <c r="AG78" i="37"/>
  <c r="G79" i="37"/>
  <c r="H78" i="37"/>
  <c r="G78" i="37"/>
  <c r="L78" i="37" s="1"/>
  <c r="G84" i="37"/>
  <c r="L84" i="37" s="1"/>
  <c r="P79" i="37"/>
  <c r="Y79" i="37" s="1"/>
  <c r="P80" i="37"/>
  <c r="Y80" i="37" s="1"/>
  <c r="K85" i="37"/>
  <c r="G80" i="37"/>
  <c r="L80" i="37" s="1"/>
  <c r="AA79" i="37"/>
  <c r="G82" i="37"/>
  <c r="Q82" i="37" s="1"/>
  <c r="K78" i="37"/>
  <c r="G81" i="37"/>
  <c r="L81" i="37" s="1"/>
  <c r="K83" i="37"/>
  <c r="K84" i="37"/>
  <c r="K64" i="37"/>
  <c r="K66" i="37"/>
  <c r="K82" i="37"/>
  <c r="O88" i="37"/>
  <c r="P84" i="37"/>
  <c r="Y84" i="37" s="1"/>
  <c r="J88" i="37"/>
  <c r="AB75" i="39" l="1"/>
  <c r="AB74" i="39"/>
  <c r="AB79" i="39"/>
  <c r="AB46" i="38"/>
  <c r="AB78" i="39"/>
  <c r="AI72" i="39"/>
  <c r="I127" i="38"/>
  <c r="X64" i="37"/>
  <c r="X82" i="37"/>
  <c r="X85" i="37"/>
  <c r="X63" i="37"/>
  <c r="X59" i="37"/>
  <c r="AE59" i="37" s="1"/>
  <c r="X62" i="37"/>
  <c r="X79" i="37"/>
  <c r="AE79" i="37" s="1"/>
  <c r="X61" i="37"/>
  <c r="AB61" i="37" s="1"/>
  <c r="X83" i="37"/>
  <c r="X65" i="37"/>
  <c r="X81" i="37"/>
  <c r="X80" i="37"/>
  <c r="X60" i="37"/>
  <c r="AE60" i="37" s="1"/>
  <c r="X78" i="37"/>
  <c r="X84" i="37"/>
  <c r="S119" i="37"/>
  <c r="S123" i="37"/>
  <c r="AD60" i="37"/>
  <c r="J135" i="38"/>
  <c r="AO108" i="38"/>
  <c r="AB40" i="38"/>
  <c r="J141" i="39"/>
  <c r="X172" i="39"/>
  <c r="J147" i="39"/>
  <c r="X178" i="39"/>
  <c r="J146" i="39"/>
  <c r="X177" i="39"/>
  <c r="J132" i="38"/>
  <c r="X159" i="38"/>
  <c r="AI41" i="38"/>
  <c r="J99" i="37"/>
  <c r="X118" i="37"/>
  <c r="J98" i="37"/>
  <c r="X117" i="37"/>
  <c r="AB44" i="38"/>
  <c r="J133" i="38"/>
  <c r="AB41" i="38"/>
  <c r="AG43" i="38"/>
  <c r="J134" i="38"/>
  <c r="AO107" i="38"/>
  <c r="AH43" i="38"/>
  <c r="AO105" i="38"/>
  <c r="D44" i="38"/>
  <c r="AE44" i="38" s="1"/>
  <c r="R43" i="38"/>
  <c r="I134" i="38"/>
  <c r="I132" i="38"/>
  <c r="AB72" i="39"/>
  <c r="I123" i="38"/>
  <c r="AB42" i="38"/>
  <c r="H43" i="38"/>
  <c r="I133" i="38"/>
  <c r="M43" i="38"/>
  <c r="AF43" i="38"/>
  <c r="AB45" i="38"/>
  <c r="Q63" i="37"/>
  <c r="J145" i="39"/>
  <c r="L41" i="37"/>
  <c r="M41" i="37" s="1"/>
  <c r="J144" i="39"/>
  <c r="AB71" i="39"/>
  <c r="AE41" i="39"/>
  <c r="AI41" i="39" s="1"/>
  <c r="I134" i="39"/>
  <c r="AB57" i="39"/>
  <c r="AB102" i="39"/>
  <c r="AB44" i="39"/>
  <c r="AB115" i="39"/>
  <c r="I139" i="39"/>
  <c r="AB54" i="39"/>
  <c r="AE102" i="39"/>
  <c r="AI102" i="39" s="1"/>
  <c r="AB43" i="39"/>
  <c r="I151" i="39"/>
  <c r="AB49" i="39"/>
  <c r="AB50" i="39"/>
  <c r="AE74" i="39"/>
  <c r="R42" i="39"/>
  <c r="I152" i="39"/>
  <c r="I147" i="39"/>
  <c r="I145" i="39"/>
  <c r="J149" i="39"/>
  <c r="J151" i="39"/>
  <c r="AB116" i="39"/>
  <c r="I150" i="39"/>
  <c r="I149" i="39"/>
  <c r="AO120" i="39"/>
  <c r="J150" i="39"/>
  <c r="AO117" i="39"/>
  <c r="J148" i="39"/>
  <c r="AB119" i="39"/>
  <c r="AO115" i="39"/>
  <c r="AB120" i="39"/>
  <c r="AB117" i="39"/>
  <c r="AO112" i="39"/>
  <c r="AO113" i="39"/>
  <c r="AB114" i="39"/>
  <c r="AO116" i="39"/>
  <c r="AO118" i="39"/>
  <c r="AO119" i="39"/>
  <c r="AO114" i="39"/>
  <c r="AB121" i="39"/>
  <c r="AB118" i="39"/>
  <c r="J142" i="39"/>
  <c r="AO111" i="39"/>
  <c r="AB111" i="39"/>
  <c r="AO70" i="39"/>
  <c r="AO79" i="39"/>
  <c r="AB89" i="39"/>
  <c r="AO72" i="39"/>
  <c r="AO75" i="39"/>
  <c r="AO77" i="39"/>
  <c r="AB83" i="39"/>
  <c r="AO83" i="39"/>
  <c r="AO74" i="39"/>
  <c r="AO76" i="39"/>
  <c r="AB40" i="39"/>
  <c r="AB88" i="39"/>
  <c r="AA93" i="39"/>
  <c r="AH42" i="39"/>
  <c r="AO88" i="39"/>
  <c r="AB73" i="39"/>
  <c r="AB86" i="39"/>
  <c r="AO81" i="39"/>
  <c r="AB84" i="39"/>
  <c r="AO80" i="39"/>
  <c r="AO71" i="39"/>
  <c r="AO85" i="39"/>
  <c r="AB90" i="39"/>
  <c r="AO78" i="39"/>
  <c r="AO87" i="39"/>
  <c r="AO73" i="39"/>
  <c r="AO84" i="39"/>
  <c r="AB85" i="39"/>
  <c r="AB87" i="39"/>
  <c r="AO89" i="39"/>
  <c r="AO86" i="39"/>
  <c r="AO82" i="39"/>
  <c r="AO57" i="39"/>
  <c r="AO52" i="39"/>
  <c r="X93" i="39"/>
  <c r="AB52" i="39"/>
  <c r="AO58" i="39"/>
  <c r="AO48" i="39"/>
  <c r="AF42" i="39"/>
  <c r="AO54" i="39"/>
  <c r="AB103" i="39"/>
  <c r="AE42" i="39"/>
  <c r="AB55" i="39"/>
  <c r="AO53" i="39"/>
  <c r="AO50" i="39"/>
  <c r="AO55" i="39"/>
  <c r="AO56" i="39"/>
  <c r="I135" i="39"/>
  <c r="I133" i="39"/>
  <c r="AB53" i="39"/>
  <c r="AO49" i="39"/>
  <c r="AO51" i="39"/>
  <c r="AO47" i="39"/>
  <c r="AB56" i="39"/>
  <c r="AB59" i="39"/>
  <c r="AB58" i="39"/>
  <c r="AA124" i="39"/>
  <c r="AB110" i="39"/>
  <c r="J140" i="39"/>
  <c r="AO109" i="39"/>
  <c r="AO101" i="39"/>
  <c r="AI103" i="39"/>
  <c r="AO110" i="39"/>
  <c r="AO107" i="39"/>
  <c r="AO106" i="39"/>
  <c r="AO104" i="39"/>
  <c r="AO108" i="39"/>
  <c r="AO105" i="39"/>
  <c r="AO103" i="39"/>
  <c r="AO102" i="39"/>
  <c r="J143" i="39"/>
  <c r="AI40" i="39"/>
  <c r="AB45" i="39"/>
  <c r="X62" i="39"/>
  <c r="AB106" i="39"/>
  <c r="AB47" i="39"/>
  <c r="S186" i="39"/>
  <c r="AF104" i="39"/>
  <c r="D43" i="39"/>
  <c r="AH43" i="39" s="1"/>
  <c r="AG42" i="39"/>
  <c r="AD42" i="39"/>
  <c r="H42" i="39"/>
  <c r="M42" i="39"/>
  <c r="AO45" i="39"/>
  <c r="AO41" i="39"/>
  <c r="AO44" i="39"/>
  <c r="AE104" i="39"/>
  <c r="AB104" i="39"/>
  <c r="AO40" i="39"/>
  <c r="L93" i="39"/>
  <c r="M71" i="39"/>
  <c r="X124" i="39"/>
  <c r="AB48" i="39"/>
  <c r="R74" i="39"/>
  <c r="AO39" i="39"/>
  <c r="AB108" i="39"/>
  <c r="AB105" i="39"/>
  <c r="Q93" i="39"/>
  <c r="R71" i="39"/>
  <c r="AG104" i="39"/>
  <c r="H104" i="39"/>
  <c r="AE105" i="39"/>
  <c r="M104" i="39"/>
  <c r="AD104" i="39"/>
  <c r="R104" i="39"/>
  <c r="Y62" i="39"/>
  <c r="I143" i="39"/>
  <c r="AB112" i="39"/>
  <c r="Q124" i="39"/>
  <c r="Y124" i="39"/>
  <c r="I144" i="39"/>
  <c r="AB113" i="39"/>
  <c r="AO42" i="39"/>
  <c r="J138" i="39"/>
  <c r="AA62" i="39"/>
  <c r="AI71" i="39"/>
  <c r="Y93" i="39"/>
  <c r="M41" i="39"/>
  <c r="L62" i="39"/>
  <c r="J139" i="39"/>
  <c r="AB46" i="39"/>
  <c r="AI73" i="39"/>
  <c r="I140" i="39"/>
  <c r="AB109" i="39"/>
  <c r="Q62" i="39"/>
  <c r="L124" i="39"/>
  <c r="D75" i="39"/>
  <c r="AG74" i="39"/>
  <c r="M74" i="39"/>
  <c r="AD74" i="39"/>
  <c r="AH74" i="39"/>
  <c r="H74" i="39"/>
  <c r="AO46" i="39"/>
  <c r="J137" i="39"/>
  <c r="AO43" i="39"/>
  <c r="J136" i="39"/>
  <c r="Y58" i="38"/>
  <c r="AB106" i="38"/>
  <c r="I129" i="38"/>
  <c r="J131" i="38"/>
  <c r="J129" i="38"/>
  <c r="J130" i="38"/>
  <c r="I136" i="38"/>
  <c r="I131" i="38"/>
  <c r="I135" i="38"/>
  <c r="AB43" i="38"/>
  <c r="AE43" i="38"/>
  <c r="AB105" i="38"/>
  <c r="AB107" i="38"/>
  <c r="AB109" i="38"/>
  <c r="AB68" i="38"/>
  <c r="AB78" i="38"/>
  <c r="I130" i="38"/>
  <c r="AO104" i="38"/>
  <c r="AO103" i="38"/>
  <c r="AB103" i="38"/>
  <c r="AO102" i="38"/>
  <c r="AB102" i="38"/>
  <c r="AB108" i="38"/>
  <c r="AB104" i="38"/>
  <c r="AO76" i="38"/>
  <c r="AO101" i="38"/>
  <c r="AO78" i="38"/>
  <c r="AO73" i="38"/>
  <c r="AO77" i="38"/>
  <c r="AO74" i="38"/>
  <c r="AO75" i="38"/>
  <c r="AB80" i="38"/>
  <c r="AB76" i="38"/>
  <c r="AB79" i="38"/>
  <c r="AB77" i="38"/>
  <c r="AB81" i="38"/>
  <c r="AB82" i="38"/>
  <c r="AB75" i="38"/>
  <c r="L85" i="38"/>
  <c r="AB49" i="38"/>
  <c r="AB51" i="38"/>
  <c r="X58" i="38"/>
  <c r="AB55" i="38"/>
  <c r="Q85" i="38"/>
  <c r="AB52" i="38"/>
  <c r="AB54" i="38"/>
  <c r="AB53" i="38"/>
  <c r="AB50" i="38"/>
  <c r="AO68" i="38"/>
  <c r="AO79" i="38"/>
  <c r="S166" i="38"/>
  <c r="AO80" i="38"/>
  <c r="AB70" i="38"/>
  <c r="AI68" i="38"/>
  <c r="AO67" i="38"/>
  <c r="AO99" i="38"/>
  <c r="AO69" i="38"/>
  <c r="AO72" i="38"/>
  <c r="AB101" i="38"/>
  <c r="AO98" i="38"/>
  <c r="AO100" i="38"/>
  <c r="AB98" i="38"/>
  <c r="H96" i="38"/>
  <c r="AF97" i="38"/>
  <c r="AG96" i="38"/>
  <c r="AD96" i="38"/>
  <c r="AI42" i="38"/>
  <c r="AF96" i="38"/>
  <c r="AA112" i="38"/>
  <c r="AF67" i="38"/>
  <c r="Y85" i="38"/>
  <c r="AH69" i="38"/>
  <c r="AO97" i="38"/>
  <c r="AI95" i="38"/>
  <c r="Q58" i="38"/>
  <c r="R40" i="38"/>
  <c r="AB73" i="38"/>
  <c r="R69" i="38"/>
  <c r="AO106" i="38"/>
  <c r="AB74" i="38"/>
  <c r="Y112" i="38"/>
  <c r="AF94" i="38"/>
  <c r="AO95" i="38"/>
  <c r="AO96" i="38"/>
  <c r="M69" i="38"/>
  <c r="AE69" i="38"/>
  <c r="AB69" i="38"/>
  <c r="AI40" i="38"/>
  <c r="AB95" i="38"/>
  <c r="I128" i="38"/>
  <c r="AO94" i="38"/>
  <c r="AB97" i="38"/>
  <c r="X112" i="38"/>
  <c r="AE94" i="38"/>
  <c r="AB94" i="38"/>
  <c r="L58" i="38"/>
  <c r="M40" i="38"/>
  <c r="AO93" i="38"/>
  <c r="AO66" i="38"/>
  <c r="AB99" i="38"/>
  <c r="AF69" i="38"/>
  <c r="R96" i="38"/>
  <c r="M96" i="38"/>
  <c r="AB100" i="38"/>
  <c r="L112" i="38"/>
  <c r="D70" i="38"/>
  <c r="M70" i="38" s="1"/>
  <c r="AG69" i="38"/>
  <c r="AD69" i="38"/>
  <c r="H69" i="38"/>
  <c r="AE96" i="38"/>
  <c r="AB96" i="38"/>
  <c r="Q112" i="38"/>
  <c r="AO70" i="38"/>
  <c r="AO71" i="38"/>
  <c r="AA85" i="38"/>
  <c r="AB71" i="38"/>
  <c r="AE67" i="38"/>
  <c r="X85" i="38"/>
  <c r="AB67" i="38"/>
  <c r="J128" i="38"/>
  <c r="Q83" i="37"/>
  <c r="G102" i="37"/>
  <c r="X47" i="37"/>
  <c r="L85" i="37"/>
  <c r="AF59" i="37"/>
  <c r="X45" i="37"/>
  <c r="AA47" i="37"/>
  <c r="G104" i="37"/>
  <c r="AB64" i="37"/>
  <c r="I104" i="37"/>
  <c r="Q45" i="37"/>
  <c r="Q42" i="37"/>
  <c r="R42" i="37" s="1"/>
  <c r="AA66" i="37"/>
  <c r="AB66" i="37" s="1"/>
  <c r="L61" i="37"/>
  <c r="Q84" i="37"/>
  <c r="G98" i="37"/>
  <c r="AH41" i="37"/>
  <c r="K50" i="37"/>
  <c r="AH79" i="37"/>
  <c r="AA62" i="37"/>
  <c r="S117" i="37"/>
  <c r="L40" i="37"/>
  <c r="M40" i="37" s="1"/>
  <c r="AF78" i="37"/>
  <c r="W50" i="37"/>
  <c r="G100" i="37"/>
  <c r="AA63" i="37"/>
  <c r="AA44" i="37"/>
  <c r="Q44" i="37"/>
  <c r="AA65" i="37"/>
  <c r="W69" i="37"/>
  <c r="Q62" i="37"/>
  <c r="L62" i="37"/>
  <c r="Q80" i="37"/>
  <c r="X40" i="37"/>
  <c r="AB40" i="37" s="1"/>
  <c r="AH60" i="37"/>
  <c r="K69" i="37"/>
  <c r="AF40" i="37"/>
  <c r="AA85" i="37"/>
  <c r="X123" i="37" s="1"/>
  <c r="AD78" i="37"/>
  <c r="L66" i="37"/>
  <c r="Q66" i="37"/>
  <c r="Q81" i="37"/>
  <c r="X42" i="37"/>
  <c r="AF42" i="37"/>
  <c r="Q64" i="37"/>
  <c r="L64" i="37"/>
  <c r="J97" i="37"/>
  <c r="AH40" i="37"/>
  <c r="S122" i="37"/>
  <c r="G103" i="37"/>
  <c r="L60" i="37"/>
  <c r="M60" i="37" s="1"/>
  <c r="Q60" i="37"/>
  <c r="R60" i="37" s="1"/>
  <c r="H42" i="37"/>
  <c r="D43" i="37"/>
  <c r="AD43" i="37" s="1"/>
  <c r="AG42" i="37"/>
  <c r="X41" i="37"/>
  <c r="AD59" i="37"/>
  <c r="Q43" i="37"/>
  <c r="L43" i="37"/>
  <c r="L46" i="37"/>
  <c r="Q46" i="37"/>
  <c r="AA81" i="37"/>
  <c r="X119" i="37" s="1"/>
  <c r="M80" i="37"/>
  <c r="AG79" i="37"/>
  <c r="W88" i="37"/>
  <c r="AF60" i="37"/>
  <c r="S120" i="37"/>
  <c r="G101" i="37"/>
  <c r="AA45" i="37"/>
  <c r="Q79" i="37"/>
  <c r="R79" i="37" s="1"/>
  <c r="L79" i="37"/>
  <c r="M79" i="37" s="1"/>
  <c r="AD42" i="37"/>
  <c r="AH78" i="37"/>
  <c r="AH59" i="37"/>
  <c r="L82" i="37"/>
  <c r="AA83" i="37"/>
  <c r="AA82" i="37"/>
  <c r="X43" i="37"/>
  <c r="Q65" i="37"/>
  <c r="L65" i="37"/>
  <c r="Q59" i="37"/>
  <c r="L59" i="37"/>
  <c r="X44" i="37"/>
  <c r="AF79" i="37"/>
  <c r="AD79" i="37"/>
  <c r="K88" i="37"/>
  <c r="P88" i="37"/>
  <c r="AE78" i="37"/>
  <c r="M42" i="37"/>
  <c r="P50" i="37"/>
  <c r="L47" i="37"/>
  <c r="Q47" i="37"/>
  <c r="M78" i="37"/>
  <c r="D61" i="37"/>
  <c r="H60" i="37"/>
  <c r="AG60" i="37"/>
  <c r="Q78" i="37"/>
  <c r="P69" i="37"/>
  <c r="AA46" i="37"/>
  <c r="AH42" i="37"/>
  <c r="J101" i="37" l="1"/>
  <c r="J100" i="37"/>
  <c r="X121" i="37"/>
  <c r="X120" i="37"/>
  <c r="I103" i="37"/>
  <c r="I102" i="37"/>
  <c r="AI43" i="38"/>
  <c r="D45" i="38"/>
  <c r="AE45" i="38" s="1"/>
  <c r="R44" i="38"/>
  <c r="H44" i="38"/>
  <c r="AG44" i="38"/>
  <c r="M44" i="38"/>
  <c r="AH44" i="38"/>
  <c r="AF44" i="38"/>
  <c r="AD44" i="38"/>
  <c r="AB82" i="37"/>
  <c r="AI42" i="39"/>
  <c r="I155" i="39"/>
  <c r="H43" i="39"/>
  <c r="AG43" i="39"/>
  <c r="D44" i="39"/>
  <c r="AF43" i="39"/>
  <c r="M43" i="39"/>
  <c r="R43" i="39"/>
  <c r="AD43" i="39"/>
  <c r="AE43" i="39"/>
  <c r="J155" i="39"/>
  <c r="X186" i="39"/>
  <c r="AG75" i="39"/>
  <c r="D76" i="39"/>
  <c r="H75" i="39"/>
  <c r="AE75" i="39"/>
  <c r="AF75" i="39"/>
  <c r="AH75" i="39"/>
  <c r="AD75" i="39"/>
  <c r="AI104" i="39"/>
  <c r="AI74" i="39"/>
  <c r="H105" i="39"/>
  <c r="AG105" i="39"/>
  <c r="AH105" i="39"/>
  <c r="AD105" i="39"/>
  <c r="M105" i="39"/>
  <c r="R105" i="39"/>
  <c r="AF105" i="39"/>
  <c r="M75" i="39"/>
  <c r="R75" i="39"/>
  <c r="R97" i="38"/>
  <c r="AE97" i="38"/>
  <c r="M97" i="38"/>
  <c r="J139" i="38"/>
  <c r="R70" i="38"/>
  <c r="AE70" i="38"/>
  <c r="X166" i="38"/>
  <c r="I139" i="38"/>
  <c r="AI69" i="38"/>
  <c r="AI96" i="38"/>
  <c r="AI67" i="38"/>
  <c r="AI94" i="38"/>
  <c r="AG97" i="38"/>
  <c r="H97" i="38"/>
  <c r="AD97" i="38"/>
  <c r="AH97" i="38"/>
  <c r="AG70" i="38"/>
  <c r="D71" i="38"/>
  <c r="H70" i="38"/>
  <c r="AD70" i="38"/>
  <c r="AH70" i="38"/>
  <c r="AF70" i="38"/>
  <c r="AB47" i="37"/>
  <c r="AE40" i="37"/>
  <c r="AI40" i="37" s="1"/>
  <c r="AB65" i="37"/>
  <c r="AB78" i="37"/>
  <c r="AB60" i="37"/>
  <c r="AB62" i="37"/>
  <c r="AB59" i="37"/>
  <c r="I97" i="37"/>
  <c r="AF43" i="37"/>
  <c r="AO58" i="37"/>
  <c r="AO63" i="37"/>
  <c r="AO64" i="37"/>
  <c r="AO60" i="37"/>
  <c r="AO62" i="37"/>
  <c r="AO59" i="37"/>
  <c r="AO66" i="37"/>
  <c r="D14" i="41" s="1"/>
  <c r="AA69" i="37"/>
  <c r="AB63" i="37"/>
  <c r="AO61" i="37"/>
  <c r="AO65" i="37"/>
  <c r="AO42" i="37"/>
  <c r="X69" i="37"/>
  <c r="L88" i="37"/>
  <c r="AO43" i="37"/>
  <c r="Y69" i="37"/>
  <c r="AO41" i="37"/>
  <c r="AI60" i="37"/>
  <c r="AO45" i="37"/>
  <c r="S126" i="37"/>
  <c r="AO47" i="37"/>
  <c r="D10" i="41" s="1"/>
  <c r="AB79" i="37"/>
  <c r="AB81" i="37"/>
  <c r="AO82" i="37"/>
  <c r="AO80" i="37"/>
  <c r="AF41" i="37"/>
  <c r="Y50" i="37"/>
  <c r="AE80" i="37"/>
  <c r="AB80" i="37"/>
  <c r="M61" i="37"/>
  <c r="AO84" i="37"/>
  <c r="L69" i="37"/>
  <c r="M59" i="37"/>
  <c r="J102" i="37"/>
  <c r="H80" i="37"/>
  <c r="AH81" i="37"/>
  <c r="AG80" i="37"/>
  <c r="AD80" i="37"/>
  <c r="R43" i="37"/>
  <c r="Q50" i="37"/>
  <c r="AB45" i="37"/>
  <c r="AI78" i="37"/>
  <c r="AB84" i="37"/>
  <c r="X88" i="37"/>
  <c r="Q69" i="37"/>
  <c r="R59" i="37"/>
  <c r="I100" i="37"/>
  <c r="AE43" i="37"/>
  <c r="AB43" i="37"/>
  <c r="AH80" i="37"/>
  <c r="I98" i="37"/>
  <c r="AE41" i="37"/>
  <c r="AB41" i="37"/>
  <c r="AO78" i="37"/>
  <c r="AF80" i="37"/>
  <c r="R80" i="37"/>
  <c r="J104" i="37"/>
  <c r="AG61" i="37"/>
  <c r="D62" i="37"/>
  <c r="H61" i="37"/>
  <c r="AF61" i="37"/>
  <c r="AD61" i="37"/>
  <c r="I101" i="37"/>
  <c r="AB44" i="37"/>
  <c r="AI59" i="37"/>
  <c r="Y88" i="37"/>
  <c r="AO83" i="37"/>
  <c r="AO81" i="37"/>
  <c r="AB85" i="37"/>
  <c r="J103" i="37"/>
  <c r="AO40" i="37"/>
  <c r="AA88" i="37"/>
  <c r="AO46" i="37"/>
  <c r="AO39" i="37"/>
  <c r="AE61" i="37"/>
  <c r="AG43" i="37"/>
  <c r="D44" i="37"/>
  <c r="AE44" i="37" s="1"/>
  <c r="H43" i="37"/>
  <c r="AH43" i="37"/>
  <c r="AI79" i="37"/>
  <c r="X50" i="37"/>
  <c r="AB46" i="37"/>
  <c r="AH61" i="37"/>
  <c r="AB83" i="37"/>
  <c r="I99" i="37"/>
  <c r="AE42" i="37"/>
  <c r="AB42" i="37"/>
  <c r="AO85" i="37"/>
  <c r="D18" i="41" s="1"/>
  <c r="Q88" i="37"/>
  <c r="R78" i="37"/>
  <c r="AO79" i="37"/>
  <c r="R61" i="37"/>
  <c r="M43" i="37"/>
  <c r="L50" i="37"/>
  <c r="AO44" i="37"/>
  <c r="AA50" i="37"/>
  <c r="AO77" i="37"/>
  <c r="M45" i="38" l="1"/>
  <c r="R45" i="38"/>
  <c r="AF45" i="38"/>
  <c r="H45" i="38"/>
  <c r="AG45" i="38"/>
  <c r="D46" i="38"/>
  <c r="H46" i="38" s="1"/>
  <c r="AH45" i="38"/>
  <c r="AD45" i="38"/>
  <c r="AI44" i="38"/>
  <c r="AI43" i="39"/>
  <c r="H44" i="39"/>
  <c r="AD44" i="39"/>
  <c r="AF44" i="39"/>
  <c r="D45" i="39"/>
  <c r="AE44" i="39"/>
  <c r="AG44" i="39"/>
  <c r="R44" i="39"/>
  <c r="AH44" i="39"/>
  <c r="M44" i="39"/>
  <c r="AI105" i="39"/>
  <c r="AG106" i="39"/>
  <c r="AH106" i="39"/>
  <c r="H106" i="39"/>
  <c r="AD106" i="39"/>
  <c r="M106" i="39"/>
  <c r="AF106" i="39"/>
  <c r="AE106" i="39"/>
  <c r="R106" i="39"/>
  <c r="D77" i="39"/>
  <c r="AG76" i="39"/>
  <c r="H76" i="39"/>
  <c r="AH76" i="39"/>
  <c r="AD76" i="39"/>
  <c r="R76" i="39"/>
  <c r="M76" i="39"/>
  <c r="AF76" i="39"/>
  <c r="AE76" i="39"/>
  <c r="AI75" i="39"/>
  <c r="AI70" i="38"/>
  <c r="AI97" i="38"/>
  <c r="D72" i="38"/>
  <c r="AG71" i="38"/>
  <c r="H71" i="38"/>
  <c r="AH71" i="38"/>
  <c r="AD71" i="38"/>
  <c r="AF71" i="38"/>
  <c r="R71" i="38"/>
  <c r="M71" i="38"/>
  <c r="AE71" i="38"/>
  <c r="AG98" i="38"/>
  <c r="H98" i="38"/>
  <c r="R98" i="38"/>
  <c r="AD98" i="38"/>
  <c r="M98" i="38"/>
  <c r="AE98" i="38"/>
  <c r="AF98" i="38"/>
  <c r="AH98" i="38"/>
  <c r="AI43" i="37"/>
  <c r="AF44" i="37"/>
  <c r="I107" i="37"/>
  <c r="X126" i="37"/>
  <c r="J107" i="37"/>
  <c r="AI41" i="37"/>
  <c r="AI61" i="37"/>
  <c r="AI80" i="37"/>
  <c r="AG81" i="37"/>
  <c r="H81" i="37"/>
  <c r="AD81" i="37"/>
  <c r="M81" i="37"/>
  <c r="R81" i="37"/>
  <c r="AF81" i="37"/>
  <c r="AE81" i="37"/>
  <c r="D63" i="37"/>
  <c r="H62" i="37"/>
  <c r="AG62" i="37"/>
  <c r="AD62" i="37"/>
  <c r="AH62" i="37"/>
  <c r="R62" i="37"/>
  <c r="M62" i="37"/>
  <c r="AF62" i="37"/>
  <c r="AE62" i="37"/>
  <c r="D45" i="37"/>
  <c r="AG44" i="37"/>
  <c r="H44" i="37"/>
  <c r="M44" i="37"/>
  <c r="AD44" i="37"/>
  <c r="AH44" i="37"/>
  <c r="R44" i="37"/>
  <c r="AI42" i="37"/>
  <c r="S132" i="32"/>
  <c r="F97" i="32"/>
  <c r="F96" i="32"/>
  <c r="F95" i="32"/>
  <c r="F94" i="32"/>
  <c r="F93" i="32"/>
  <c r="F92" i="32"/>
  <c r="F91" i="32"/>
  <c r="F90" i="32"/>
  <c r="F89" i="32"/>
  <c r="F88" i="32"/>
  <c r="F87" i="32"/>
  <c r="F86" i="32"/>
  <c r="D63" i="32"/>
  <c r="D64" i="32" s="1"/>
  <c r="D65" i="32" s="1"/>
  <c r="D66" i="32" s="1"/>
  <c r="D67" i="32" s="1"/>
  <c r="D68" i="32" s="1"/>
  <c r="D69" i="32" s="1"/>
  <c r="D70" i="32" s="1"/>
  <c r="D71" i="32" s="1"/>
  <c r="D72" i="32" s="1"/>
  <c r="D73" i="32" s="1"/>
  <c r="D74" i="32" s="1"/>
  <c r="F74" i="32"/>
  <c r="F73" i="32"/>
  <c r="F72" i="32"/>
  <c r="F71" i="32"/>
  <c r="F70" i="32"/>
  <c r="F69" i="32"/>
  <c r="F68" i="32"/>
  <c r="F67" i="32"/>
  <c r="F66" i="32"/>
  <c r="F65" i="32"/>
  <c r="F64" i="32"/>
  <c r="F63" i="32"/>
  <c r="R132" i="32"/>
  <c r="W91" i="32" l="1"/>
  <c r="W70" i="32"/>
  <c r="AA71" i="32" s="1"/>
  <c r="W92" i="32"/>
  <c r="W71" i="32"/>
  <c r="W93" i="32"/>
  <c r="AA94" i="32" s="1"/>
  <c r="X140" i="32" s="1"/>
  <c r="W72" i="32"/>
  <c r="W94" i="32"/>
  <c r="W73" i="32"/>
  <c r="W95" i="32"/>
  <c r="W69" i="32"/>
  <c r="W96" i="32"/>
  <c r="W63" i="32"/>
  <c r="W64" i="32"/>
  <c r="W86" i="32"/>
  <c r="W65" i="32"/>
  <c r="W87" i="32"/>
  <c r="W66" i="32"/>
  <c r="AA69" i="32" s="1"/>
  <c r="W88" i="32"/>
  <c r="W67" i="32"/>
  <c r="W89" i="32"/>
  <c r="AA92" i="32" s="1"/>
  <c r="X138" i="32" s="1"/>
  <c r="W68" i="32"/>
  <c r="W90" i="32"/>
  <c r="AG46" i="38"/>
  <c r="AI45" i="38"/>
  <c r="M46" i="38"/>
  <c r="AH46" i="38"/>
  <c r="R46" i="38"/>
  <c r="AD46" i="38"/>
  <c r="AF46" i="38"/>
  <c r="AE46" i="38"/>
  <c r="D47" i="38"/>
  <c r="D48" i="38" s="1"/>
  <c r="H48" i="38" s="1"/>
  <c r="AI44" i="39"/>
  <c r="AE45" i="39"/>
  <c r="AF45" i="39"/>
  <c r="R45" i="39"/>
  <c r="AD45" i="39"/>
  <c r="AG45" i="39"/>
  <c r="D46" i="39"/>
  <c r="H45" i="39"/>
  <c r="M45" i="39"/>
  <c r="AH45" i="39"/>
  <c r="AG77" i="39"/>
  <c r="D78" i="39"/>
  <c r="H77" i="39"/>
  <c r="AH77" i="39"/>
  <c r="AF77" i="39"/>
  <c r="AE77" i="39"/>
  <c r="AD77" i="39"/>
  <c r="R77" i="39"/>
  <c r="M77" i="39"/>
  <c r="AG107" i="39"/>
  <c r="AD107" i="39"/>
  <c r="H107" i="39"/>
  <c r="M107" i="39"/>
  <c r="AH107" i="39"/>
  <c r="R107" i="39"/>
  <c r="AF107" i="39"/>
  <c r="AE107" i="39"/>
  <c r="AI106" i="39"/>
  <c r="AI76" i="39"/>
  <c r="H99" i="38"/>
  <c r="AG99" i="38"/>
  <c r="M99" i="38"/>
  <c r="R99" i="38"/>
  <c r="AD99" i="38"/>
  <c r="AE99" i="38"/>
  <c r="AF99" i="38"/>
  <c r="AH99" i="38"/>
  <c r="AI71" i="38"/>
  <c r="AI98" i="38"/>
  <c r="AG72" i="38"/>
  <c r="D73" i="38"/>
  <c r="H72" i="38"/>
  <c r="AE72" i="38"/>
  <c r="AF72" i="38"/>
  <c r="R72" i="38"/>
  <c r="AD72" i="38"/>
  <c r="AH72" i="38"/>
  <c r="M72" i="38"/>
  <c r="AI81" i="37"/>
  <c r="D64" i="37"/>
  <c r="AF63" i="37"/>
  <c r="AG63" i="37"/>
  <c r="AH63" i="37"/>
  <c r="H63" i="37"/>
  <c r="AD63" i="37"/>
  <c r="M63" i="37"/>
  <c r="AE63" i="37"/>
  <c r="R63" i="37"/>
  <c r="AI62" i="37"/>
  <c r="AG82" i="37"/>
  <c r="AD82" i="37"/>
  <c r="H82" i="37"/>
  <c r="AF82" i="37"/>
  <c r="R82" i="37"/>
  <c r="AE82" i="37"/>
  <c r="AH82" i="37"/>
  <c r="M82" i="37"/>
  <c r="D46" i="37"/>
  <c r="AG45" i="37"/>
  <c r="H45" i="37"/>
  <c r="M45" i="37"/>
  <c r="AF45" i="37"/>
  <c r="AD45" i="37"/>
  <c r="AE45" i="37"/>
  <c r="R45" i="37"/>
  <c r="AH45" i="37"/>
  <c r="AI44" i="37"/>
  <c r="AA97" i="32"/>
  <c r="X143" i="32" s="1"/>
  <c r="AA86" i="32"/>
  <c r="AA64" i="32"/>
  <c r="AA63" i="32"/>
  <c r="AA87" i="32"/>
  <c r="AA65" i="32"/>
  <c r="AA74" i="32"/>
  <c r="AA88" i="32"/>
  <c r="G87" i="32"/>
  <c r="G86" i="32"/>
  <c r="G70" i="32"/>
  <c r="G96" i="32"/>
  <c r="G71" i="32"/>
  <c r="G97" i="32"/>
  <c r="G64" i="32"/>
  <c r="G63" i="32"/>
  <c r="G90" i="32"/>
  <c r="G65" i="32"/>
  <c r="G73" i="32"/>
  <c r="G91" i="32"/>
  <c r="G69" i="32"/>
  <c r="G88" i="32"/>
  <c r="G89" i="32"/>
  <c r="G72" i="32"/>
  <c r="G66" i="32"/>
  <c r="G74" i="32"/>
  <c r="G92" i="32"/>
  <c r="G95" i="32"/>
  <c r="G67" i="32"/>
  <c r="G93" i="32"/>
  <c r="G68" i="32"/>
  <c r="G94" i="32"/>
  <c r="H63" i="32"/>
  <c r="S120" i="32"/>
  <c r="S119" i="32"/>
  <c r="S118" i="32"/>
  <c r="S117" i="32"/>
  <c r="S116" i="32"/>
  <c r="S114" i="32"/>
  <c r="S112" i="32"/>
  <c r="S111" i="32"/>
  <c r="S110" i="32"/>
  <c r="S109" i="32"/>
  <c r="J97" i="32"/>
  <c r="J96" i="32"/>
  <c r="J95" i="32"/>
  <c r="J94" i="32"/>
  <c r="J93" i="32"/>
  <c r="J92" i="32"/>
  <c r="J91" i="32"/>
  <c r="J90" i="32"/>
  <c r="J89" i="32"/>
  <c r="J88" i="32"/>
  <c r="J87" i="32"/>
  <c r="J86" i="32"/>
  <c r="O97" i="32"/>
  <c r="O96" i="32"/>
  <c r="O95" i="32"/>
  <c r="O94" i="32"/>
  <c r="O93" i="32"/>
  <c r="O92" i="32"/>
  <c r="O91" i="32"/>
  <c r="O90" i="32"/>
  <c r="O89" i="32"/>
  <c r="O88" i="32"/>
  <c r="O87" i="32"/>
  <c r="O86" i="32"/>
  <c r="J77" i="32"/>
  <c r="K63" i="32" s="1"/>
  <c r="M47" i="38" l="1"/>
  <c r="R47" i="38"/>
  <c r="AF47" i="38"/>
  <c r="AE48" i="38"/>
  <c r="R48" i="38"/>
  <c r="AH47" i="38"/>
  <c r="AG48" i="38"/>
  <c r="AI46" i="38"/>
  <c r="AH48" i="38"/>
  <c r="H47" i="38"/>
  <c r="D49" i="38"/>
  <c r="R49" i="38" s="1"/>
  <c r="AD47" i="38"/>
  <c r="AE47" i="38"/>
  <c r="M48" i="38"/>
  <c r="AG47" i="38"/>
  <c r="AF48" i="38"/>
  <c r="AD48" i="38"/>
  <c r="AA66" i="32"/>
  <c r="AH46" i="39"/>
  <c r="M46" i="39"/>
  <c r="AD46" i="39"/>
  <c r="H46" i="39"/>
  <c r="R46" i="39"/>
  <c r="AE46" i="39"/>
  <c r="AG46" i="39"/>
  <c r="D47" i="39"/>
  <c r="AF46" i="39"/>
  <c r="AI45" i="39"/>
  <c r="H108" i="39"/>
  <c r="AG108" i="39"/>
  <c r="AD108" i="39"/>
  <c r="R108" i="39"/>
  <c r="AH108" i="39"/>
  <c r="M108" i="39"/>
  <c r="AF108" i="39"/>
  <c r="AE108" i="39"/>
  <c r="AI77" i="39"/>
  <c r="AI107" i="39"/>
  <c r="D79" i="39"/>
  <c r="AG78" i="39"/>
  <c r="AH78" i="39"/>
  <c r="AD78" i="39"/>
  <c r="H78" i="39"/>
  <c r="AE78" i="39"/>
  <c r="AF78" i="39"/>
  <c r="M78" i="39"/>
  <c r="R78" i="39"/>
  <c r="AI99" i="38"/>
  <c r="AI72" i="38"/>
  <c r="D74" i="38"/>
  <c r="D75" i="38" s="1"/>
  <c r="AG73" i="38"/>
  <c r="AD73" i="38"/>
  <c r="H73" i="38"/>
  <c r="AE73" i="38"/>
  <c r="R73" i="38"/>
  <c r="AH73" i="38"/>
  <c r="M73" i="38"/>
  <c r="AF73" i="38"/>
  <c r="AG100" i="38"/>
  <c r="H100" i="38"/>
  <c r="AD100" i="38"/>
  <c r="M100" i="38"/>
  <c r="AF100" i="38"/>
  <c r="R100" i="38"/>
  <c r="AE100" i="38"/>
  <c r="AH100" i="38"/>
  <c r="AG46" i="37"/>
  <c r="D47" i="37"/>
  <c r="H46" i="37"/>
  <c r="AD46" i="37"/>
  <c r="AF46" i="37"/>
  <c r="AE46" i="37"/>
  <c r="M46" i="37"/>
  <c r="R46" i="37"/>
  <c r="AH46" i="37"/>
  <c r="AG83" i="37"/>
  <c r="H83" i="37"/>
  <c r="R83" i="37"/>
  <c r="AF83" i="37"/>
  <c r="AD83" i="37"/>
  <c r="AE83" i="37"/>
  <c r="M83" i="37"/>
  <c r="AH83" i="37"/>
  <c r="AI45" i="37"/>
  <c r="AI82" i="37"/>
  <c r="D65" i="37"/>
  <c r="H64" i="37"/>
  <c r="AG64" i="37"/>
  <c r="AD64" i="37"/>
  <c r="AH64" i="37"/>
  <c r="AE64" i="37"/>
  <c r="AF64" i="37"/>
  <c r="M64" i="37"/>
  <c r="R64" i="37"/>
  <c r="AI63" i="37"/>
  <c r="AA73" i="32"/>
  <c r="AA70" i="32"/>
  <c r="AA95" i="32"/>
  <c r="X141" i="32" s="1"/>
  <c r="AA67" i="32"/>
  <c r="AA96" i="32"/>
  <c r="X142" i="32" s="1"/>
  <c r="AA93" i="32"/>
  <c r="X139" i="32" s="1"/>
  <c r="AA90" i="32"/>
  <c r="AA91" i="32"/>
  <c r="AA72" i="32"/>
  <c r="AA89" i="32"/>
  <c r="AA68" i="32"/>
  <c r="L92" i="32"/>
  <c r="Q92" i="32"/>
  <c r="L73" i="32"/>
  <c r="Q73" i="32"/>
  <c r="L93" i="32"/>
  <c r="Q93" i="32"/>
  <c r="L88" i="32"/>
  <c r="Q88" i="32"/>
  <c r="L71" i="32"/>
  <c r="Q71" i="32"/>
  <c r="L67" i="32"/>
  <c r="Q67" i="32"/>
  <c r="L66" i="32"/>
  <c r="Q66" i="32"/>
  <c r="L69" i="32"/>
  <c r="Q69" i="32"/>
  <c r="Q90" i="32"/>
  <c r="L90" i="32"/>
  <c r="L96" i="32"/>
  <c r="Q96" i="32"/>
  <c r="L68" i="32"/>
  <c r="Q68" i="32"/>
  <c r="L86" i="32"/>
  <c r="Q86" i="32"/>
  <c r="L89" i="32"/>
  <c r="Q89" i="32"/>
  <c r="L97" i="32"/>
  <c r="Q97" i="32"/>
  <c r="L87" i="32"/>
  <c r="Q87" i="32"/>
  <c r="L74" i="32"/>
  <c r="Q74" i="32"/>
  <c r="L65" i="32"/>
  <c r="Q65" i="32"/>
  <c r="L94" i="32"/>
  <c r="Q94" i="32"/>
  <c r="L95" i="32"/>
  <c r="Q95" i="32"/>
  <c r="L72" i="32"/>
  <c r="Q72" i="32"/>
  <c r="L91" i="32"/>
  <c r="Q91" i="32"/>
  <c r="L63" i="32"/>
  <c r="Q63" i="32"/>
  <c r="L70" i="32"/>
  <c r="Q70" i="32"/>
  <c r="L64" i="32"/>
  <c r="Q64" i="32"/>
  <c r="J100" i="32"/>
  <c r="K97" i="32"/>
  <c r="K87" i="32"/>
  <c r="K93" i="32"/>
  <c r="K90" i="32"/>
  <c r="K96" i="32"/>
  <c r="K86" i="32"/>
  <c r="K89" i="32"/>
  <c r="K92" i="32"/>
  <c r="K70" i="32"/>
  <c r="K95" i="32"/>
  <c r="K88" i="32"/>
  <c r="K68" i="32"/>
  <c r="K94" i="32"/>
  <c r="K91" i="32"/>
  <c r="K73" i="32"/>
  <c r="K65" i="32"/>
  <c r="K67" i="32"/>
  <c r="K72" i="32"/>
  <c r="K64" i="32"/>
  <c r="K69" i="32"/>
  <c r="K74" i="32"/>
  <c r="K66" i="32"/>
  <c r="K71" i="32"/>
  <c r="AO74" i="32"/>
  <c r="E14" i="41" s="1"/>
  <c r="S143" i="32"/>
  <c r="S142" i="32"/>
  <c r="S141" i="32"/>
  <c r="S140" i="32"/>
  <c r="S139" i="32"/>
  <c r="F42" i="32"/>
  <c r="W42" i="32" s="1"/>
  <c r="AD49" i="38" l="1"/>
  <c r="AH49" i="38"/>
  <c r="AI48" i="38"/>
  <c r="AF49" i="38"/>
  <c r="AE49" i="38"/>
  <c r="H49" i="38"/>
  <c r="AG49" i="38"/>
  <c r="D50" i="38"/>
  <c r="AF50" i="38" s="1"/>
  <c r="AI47" i="38"/>
  <c r="M49" i="38"/>
  <c r="S135" i="32"/>
  <c r="H47" i="39"/>
  <c r="AF47" i="39"/>
  <c r="M47" i="39"/>
  <c r="AH47" i="39"/>
  <c r="D48" i="39"/>
  <c r="R47" i="39"/>
  <c r="AD47" i="39"/>
  <c r="AG47" i="39"/>
  <c r="AE47" i="39"/>
  <c r="AI46" i="39"/>
  <c r="H109" i="39"/>
  <c r="AG109" i="39"/>
  <c r="M109" i="39"/>
  <c r="AD109" i="39"/>
  <c r="R109" i="39"/>
  <c r="AH109" i="39"/>
  <c r="AF109" i="39"/>
  <c r="AE109" i="39"/>
  <c r="D80" i="39"/>
  <c r="AG79" i="39"/>
  <c r="H79" i="39"/>
  <c r="AH79" i="39"/>
  <c r="AE79" i="39"/>
  <c r="AD79" i="39"/>
  <c r="AF79" i="39"/>
  <c r="R79" i="39"/>
  <c r="M79" i="39"/>
  <c r="AI78" i="39"/>
  <c r="AI108" i="39"/>
  <c r="AG101" i="38"/>
  <c r="AD101" i="38"/>
  <c r="AE101" i="38"/>
  <c r="AH101" i="38"/>
  <c r="AF101" i="38"/>
  <c r="D76" i="38"/>
  <c r="AG75" i="38"/>
  <c r="H75" i="38"/>
  <c r="AD75" i="38"/>
  <c r="AH75" i="38"/>
  <c r="M75" i="38"/>
  <c r="R75" i="38"/>
  <c r="AE75" i="38"/>
  <c r="AF75" i="38"/>
  <c r="H101" i="38"/>
  <c r="R101" i="38"/>
  <c r="M101" i="38"/>
  <c r="AG74" i="38"/>
  <c r="R74" i="38"/>
  <c r="AD74" i="38"/>
  <c r="H74" i="38"/>
  <c r="AH74" i="38"/>
  <c r="M74" i="38"/>
  <c r="AF74" i="38"/>
  <c r="AE74" i="38"/>
  <c r="AI73" i="38"/>
  <c r="AI100" i="38"/>
  <c r="AI83" i="37"/>
  <c r="AI46" i="37"/>
  <c r="H47" i="37"/>
  <c r="AG47" i="37"/>
  <c r="AD47" i="37"/>
  <c r="AF47" i="37"/>
  <c r="AH47" i="37"/>
  <c r="AE47" i="37"/>
  <c r="M47" i="37"/>
  <c r="R47" i="37"/>
  <c r="AG84" i="37"/>
  <c r="H84" i="37"/>
  <c r="AD84" i="37"/>
  <c r="M84" i="37"/>
  <c r="R84" i="37"/>
  <c r="AH84" i="37"/>
  <c r="AE84" i="37"/>
  <c r="AF84" i="37"/>
  <c r="AG65" i="37"/>
  <c r="D66" i="37"/>
  <c r="H65" i="37"/>
  <c r="AD65" i="37"/>
  <c r="AH65" i="37"/>
  <c r="AE65" i="37"/>
  <c r="AF65" i="37"/>
  <c r="R65" i="37"/>
  <c r="M65" i="37"/>
  <c r="AI64" i="37"/>
  <c r="AO66" i="32"/>
  <c r="AO94" i="32"/>
  <c r="AO87" i="32"/>
  <c r="AO88" i="32"/>
  <c r="AO89" i="32"/>
  <c r="AO62" i="32"/>
  <c r="AO63" i="32"/>
  <c r="AO71" i="32"/>
  <c r="AO90" i="32"/>
  <c r="AO85" i="32"/>
  <c r="AO86" i="32"/>
  <c r="AO69" i="32"/>
  <c r="AO70" i="32"/>
  <c r="AO64" i="32"/>
  <c r="AO72" i="32"/>
  <c r="AO91" i="32"/>
  <c r="AO67" i="32"/>
  <c r="AO68" i="32"/>
  <c r="AO95" i="32"/>
  <c r="AO96" i="32"/>
  <c r="AO97" i="32"/>
  <c r="E18" i="41" s="1"/>
  <c r="AO65" i="32"/>
  <c r="AO73" i="32"/>
  <c r="AO92" i="32"/>
  <c r="AO93" i="32"/>
  <c r="J120" i="32"/>
  <c r="J116" i="32"/>
  <c r="J117" i="32"/>
  <c r="J118" i="32"/>
  <c r="J119" i="32"/>
  <c r="G118" i="32"/>
  <c r="G116" i="32"/>
  <c r="G117" i="32"/>
  <c r="G120" i="32"/>
  <c r="G119" i="32"/>
  <c r="K77" i="32"/>
  <c r="K100" i="32"/>
  <c r="AH50" i="38" l="1"/>
  <c r="AI49" i="38"/>
  <c r="AE50" i="38"/>
  <c r="R50" i="38"/>
  <c r="AD50" i="38"/>
  <c r="H50" i="38"/>
  <c r="AG50" i="38"/>
  <c r="M50" i="38"/>
  <c r="D51" i="38"/>
  <c r="D52" i="38" s="1"/>
  <c r="AK47" i="37"/>
  <c r="D7" i="41" s="1"/>
  <c r="G112" i="32"/>
  <c r="AI47" i="39"/>
  <c r="AE48" i="39"/>
  <c r="AG48" i="39"/>
  <c r="AF48" i="39"/>
  <c r="D49" i="39"/>
  <c r="H48" i="39"/>
  <c r="AD48" i="39"/>
  <c r="AH48" i="39"/>
  <c r="R48" i="39"/>
  <c r="M48" i="39"/>
  <c r="AI109" i="39"/>
  <c r="D81" i="39"/>
  <c r="AG80" i="39"/>
  <c r="H80" i="39"/>
  <c r="AD80" i="39"/>
  <c r="AE80" i="39"/>
  <c r="AH80" i="39"/>
  <c r="R80" i="39"/>
  <c r="AF80" i="39"/>
  <c r="M80" i="39"/>
  <c r="AI79" i="39"/>
  <c r="AG110" i="39"/>
  <c r="AH110" i="39"/>
  <c r="H110" i="39"/>
  <c r="AE110" i="39"/>
  <c r="AD110" i="39"/>
  <c r="M110" i="39"/>
  <c r="R110" i="39"/>
  <c r="AF110" i="39"/>
  <c r="AI101" i="38"/>
  <c r="AG102" i="38"/>
  <c r="R102" i="38"/>
  <c r="H102" i="38"/>
  <c r="M102" i="38"/>
  <c r="AH102" i="38"/>
  <c r="AD102" i="38"/>
  <c r="AF102" i="38"/>
  <c r="AE102" i="38"/>
  <c r="D77" i="38"/>
  <c r="AG76" i="38"/>
  <c r="H76" i="38"/>
  <c r="AH76" i="38"/>
  <c r="AD76" i="38"/>
  <c r="R76" i="38"/>
  <c r="M76" i="38"/>
  <c r="AE76" i="38"/>
  <c r="AF76" i="38"/>
  <c r="AI75" i="38"/>
  <c r="AI74" i="38"/>
  <c r="AG85" i="37"/>
  <c r="M85" i="37"/>
  <c r="H85" i="37"/>
  <c r="R85" i="37"/>
  <c r="AE85" i="37"/>
  <c r="AD85" i="37"/>
  <c r="AF85" i="37"/>
  <c r="AH85" i="37"/>
  <c r="AI84" i="37"/>
  <c r="AI47" i="37"/>
  <c r="AI65" i="37"/>
  <c r="H66" i="37"/>
  <c r="AG66" i="37"/>
  <c r="AD66" i="37"/>
  <c r="AH66" i="37"/>
  <c r="AF66" i="37"/>
  <c r="AE66" i="37"/>
  <c r="R66" i="37"/>
  <c r="M66" i="37"/>
  <c r="T120" i="32"/>
  <c r="T119" i="32"/>
  <c r="T118" i="32"/>
  <c r="T117" i="32"/>
  <c r="T116" i="32"/>
  <c r="T114" i="32"/>
  <c r="T112" i="32"/>
  <c r="T111" i="32"/>
  <c r="T110" i="32"/>
  <c r="P120" i="32"/>
  <c r="P119" i="32"/>
  <c r="P118" i="32"/>
  <c r="P117" i="32"/>
  <c r="P116" i="32"/>
  <c r="P115" i="32"/>
  <c r="P114" i="32"/>
  <c r="P113" i="32"/>
  <c r="P112" i="32"/>
  <c r="P111" i="32"/>
  <c r="P110" i="32"/>
  <c r="L109" i="32"/>
  <c r="K120" i="32"/>
  <c r="K119" i="32"/>
  <c r="K118" i="32"/>
  <c r="K117" i="32"/>
  <c r="K116" i="32"/>
  <c r="K114" i="32"/>
  <c r="K112" i="32"/>
  <c r="K111" i="32"/>
  <c r="K110" i="32"/>
  <c r="K109" i="32"/>
  <c r="M51" i="38" l="1"/>
  <c r="AE51" i="38"/>
  <c r="AF51" i="38"/>
  <c r="H51" i="38"/>
  <c r="AI50" i="38"/>
  <c r="AD51" i="38"/>
  <c r="R51" i="38"/>
  <c r="AH51" i="38"/>
  <c r="AG51" i="38"/>
  <c r="AK85" i="37"/>
  <c r="D15" i="41" s="1"/>
  <c r="AK66" i="37"/>
  <c r="D11" i="41" s="1"/>
  <c r="AG49" i="39"/>
  <c r="D50" i="39"/>
  <c r="D51" i="39" s="1"/>
  <c r="D52" i="39" s="1"/>
  <c r="AE49" i="39"/>
  <c r="AF49" i="39"/>
  <c r="AH49" i="39"/>
  <c r="R49" i="39"/>
  <c r="M49" i="39"/>
  <c r="H49" i="39"/>
  <c r="AD49" i="39"/>
  <c r="AI48" i="39"/>
  <c r="D82" i="39"/>
  <c r="D83" i="39" s="1"/>
  <c r="AG81" i="39"/>
  <c r="H81" i="39"/>
  <c r="AH81" i="39"/>
  <c r="AF81" i="39"/>
  <c r="AE81" i="39"/>
  <c r="AD81" i="39"/>
  <c r="R81" i="39"/>
  <c r="M81" i="39"/>
  <c r="AI110" i="39"/>
  <c r="AI80" i="39"/>
  <c r="AG111" i="39"/>
  <c r="R111" i="39"/>
  <c r="H111" i="39"/>
  <c r="AD111" i="39"/>
  <c r="AE111" i="39"/>
  <c r="AH111" i="39"/>
  <c r="AF111" i="39"/>
  <c r="M111" i="39"/>
  <c r="AI102" i="38"/>
  <c r="AG103" i="38"/>
  <c r="H103" i="38"/>
  <c r="R103" i="38"/>
  <c r="AD103" i="38"/>
  <c r="M103" i="38"/>
  <c r="AF103" i="38"/>
  <c r="AE103" i="38"/>
  <c r="AH103" i="38"/>
  <c r="AI76" i="38"/>
  <c r="D78" i="38"/>
  <c r="AG77" i="38"/>
  <c r="H77" i="38"/>
  <c r="M77" i="38"/>
  <c r="AD77" i="38"/>
  <c r="R77" i="38"/>
  <c r="AH77" i="38"/>
  <c r="AF77" i="38"/>
  <c r="AE77" i="38"/>
  <c r="D53" i="38"/>
  <c r="AG52" i="38"/>
  <c r="H52" i="38"/>
  <c r="AD52" i="38"/>
  <c r="AH52" i="38"/>
  <c r="M52" i="38"/>
  <c r="AE52" i="38"/>
  <c r="AF52" i="38"/>
  <c r="R52" i="38"/>
  <c r="AI66" i="37"/>
  <c r="AI85" i="37"/>
  <c r="W109" i="32"/>
  <c r="AI51" i="38" l="1"/>
  <c r="D84" i="39"/>
  <c r="AG83" i="39"/>
  <c r="H83" i="39"/>
  <c r="AD83" i="39"/>
  <c r="AH83" i="39"/>
  <c r="AE83" i="39"/>
  <c r="AF83" i="39"/>
  <c r="M83" i="39"/>
  <c r="R83" i="39"/>
  <c r="D53" i="39"/>
  <c r="AG52" i="39"/>
  <c r="AD52" i="39"/>
  <c r="AH52" i="39"/>
  <c r="H52" i="39"/>
  <c r="AE52" i="39"/>
  <c r="R52" i="39"/>
  <c r="AF52" i="39"/>
  <c r="M52" i="39"/>
  <c r="AF50" i="39"/>
  <c r="R50" i="39"/>
  <c r="AH50" i="39"/>
  <c r="AD50" i="39"/>
  <c r="AG50" i="39"/>
  <c r="AE50" i="39"/>
  <c r="M50" i="39"/>
  <c r="H50" i="39"/>
  <c r="AI49" i="39"/>
  <c r="H112" i="39"/>
  <c r="AG112" i="39"/>
  <c r="AD112" i="39"/>
  <c r="AH112" i="39"/>
  <c r="R112" i="39"/>
  <c r="AF112" i="39"/>
  <c r="AE112" i="39"/>
  <c r="M112" i="39"/>
  <c r="AI81" i="39"/>
  <c r="AI111" i="39"/>
  <c r="AG82" i="39"/>
  <c r="M82" i="39"/>
  <c r="AE82" i="39"/>
  <c r="H82" i="39"/>
  <c r="AD82" i="39"/>
  <c r="R82" i="39"/>
  <c r="AH82" i="39"/>
  <c r="AF82" i="39"/>
  <c r="AI103" i="38"/>
  <c r="AG104" i="38"/>
  <c r="AD104" i="38"/>
  <c r="R104" i="38"/>
  <c r="H104" i="38"/>
  <c r="M104" i="38"/>
  <c r="AF104" i="38"/>
  <c r="AE104" i="38"/>
  <c r="AH104" i="38"/>
  <c r="AI77" i="38"/>
  <c r="D79" i="38"/>
  <c r="AG78" i="38"/>
  <c r="H78" i="38"/>
  <c r="AD78" i="38"/>
  <c r="AH78" i="38"/>
  <c r="M78" i="38"/>
  <c r="R78" i="38"/>
  <c r="AF78" i="38"/>
  <c r="AE78" i="38"/>
  <c r="AI52" i="38"/>
  <c r="D54" i="38"/>
  <c r="AG53" i="38"/>
  <c r="AD53" i="38"/>
  <c r="H53" i="38"/>
  <c r="AH53" i="38"/>
  <c r="AE53" i="38"/>
  <c r="M53" i="38"/>
  <c r="AF53" i="38"/>
  <c r="R53" i="38"/>
  <c r="G13" i="32"/>
  <c r="G15" i="32" s="1"/>
  <c r="AG114" i="39" l="1"/>
  <c r="H114" i="39"/>
  <c r="AD114" i="39"/>
  <c r="AH114" i="39"/>
  <c r="R114" i="39"/>
  <c r="M114" i="39"/>
  <c r="AF114" i="39"/>
  <c r="AE114" i="39"/>
  <c r="AI83" i="39"/>
  <c r="D85" i="39"/>
  <c r="AG84" i="39"/>
  <c r="AD84" i="39"/>
  <c r="H84" i="39"/>
  <c r="AH84" i="39"/>
  <c r="R84" i="39"/>
  <c r="AE84" i="39"/>
  <c r="M84" i="39"/>
  <c r="AF84" i="39"/>
  <c r="AI52" i="39"/>
  <c r="D54" i="39"/>
  <c r="AG53" i="39"/>
  <c r="H53" i="39"/>
  <c r="AD53" i="39"/>
  <c r="AH53" i="39"/>
  <c r="M53" i="39"/>
  <c r="AF53" i="39"/>
  <c r="AE53" i="39"/>
  <c r="R53" i="39"/>
  <c r="AI50" i="39"/>
  <c r="R51" i="39"/>
  <c r="AF51" i="39"/>
  <c r="M51" i="39"/>
  <c r="AG51" i="39"/>
  <c r="AD51" i="39"/>
  <c r="AE51" i="39"/>
  <c r="AH51" i="39"/>
  <c r="H51" i="39"/>
  <c r="H113" i="39"/>
  <c r="M113" i="39"/>
  <c r="AG113" i="39"/>
  <c r="AD113" i="39"/>
  <c r="R113" i="39"/>
  <c r="AH113" i="39"/>
  <c r="AE113" i="39"/>
  <c r="AF113" i="39"/>
  <c r="AI82" i="39"/>
  <c r="AI112" i="39"/>
  <c r="AI104" i="38"/>
  <c r="AG105" i="38"/>
  <c r="H105" i="38"/>
  <c r="AD105" i="38"/>
  <c r="R105" i="38"/>
  <c r="AH105" i="38"/>
  <c r="M105" i="38"/>
  <c r="AE105" i="38"/>
  <c r="AF105" i="38"/>
  <c r="AG79" i="38"/>
  <c r="D80" i="38"/>
  <c r="AD79" i="38"/>
  <c r="H79" i="38"/>
  <c r="M79" i="38"/>
  <c r="AH79" i="38"/>
  <c r="R79" i="38"/>
  <c r="AF79" i="38"/>
  <c r="AE79" i="38"/>
  <c r="AI78" i="38"/>
  <c r="D55" i="38"/>
  <c r="AG54" i="38"/>
  <c r="H54" i="38"/>
  <c r="AH54" i="38"/>
  <c r="AD54" i="38"/>
  <c r="AE54" i="38"/>
  <c r="AF54" i="38"/>
  <c r="R54" i="38"/>
  <c r="M54" i="38"/>
  <c r="AI53" i="38"/>
  <c r="AH50" i="37"/>
  <c r="R50" i="37"/>
  <c r="M50" i="37"/>
  <c r="O109" i="32"/>
  <c r="T109" i="32"/>
  <c r="F120" i="32"/>
  <c r="F119" i="32"/>
  <c r="F118" i="32"/>
  <c r="F117" i="32"/>
  <c r="F116" i="32"/>
  <c r="F115" i="32"/>
  <c r="F114" i="32"/>
  <c r="F113" i="32"/>
  <c r="F112" i="32"/>
  <c r="F111" i="32"/>
  <c r="F110" i="32"/>
  <c r="E109" i="32"/>
  <c r="L120" i="32"/>
  <c r="L119" i="32"/>
  <c r="L118" i="32"/>
  <c r="L117" i="32"/>
  <c r="L116" i="32"/>
  <c r="L114" i="32"/>
  <c r="L112" i="32"/>
  <c r="L111" i="32"/>
  <c r="AG63" i="32"/>
  <c r="O100" i="32"/>
  <c r="AG86" i="32"/>
  <c r="AD85" i="32"/>
  <c r="AD62" i="32"/>
  <c r="O77" i="32"/>
  <c r="P67" i="32" s="1"/>
  <c r="X67" i="32" l="1"/>
  <c r="Y67" i="32"/>
  <c r="AI114" i="39"/>
  <c r="AG115" i="39"/>
  <c r="H115" i="39"/>
  <c r="AD115" i="39"/>
  <c r="M115" i="39"/>
  <c r="R115" i="39"/>
  <c r="AE115" i="39"/>
  <c r="AH115" i="39"/>
  <c r="AF115" i="39"/>
  <c r="D86" i="39"/>
  <c r="AG85" i="39"/>
  <c r="H85" i="39"/>
  <c r="AH85" i="39"/>
  <c r="AD85" i="39"/>
  <c r="AF85" i="39"/>
  <c r="AE85" i="39"/>
  <c r="M85" i="39"/>
  <c r="R85" i="39"/>
  <c r="AI84" i="39"/>
  <c r="AI53" i="39"/>
  <c r="D55" i="39"/>
  <c r="AG54" i="39"/>
  <c r="M54" i="39"/>
  <c r="H54" i="39"/>
  <c r="AD54" i="39"/>
  <c r="AH54" i="39"/>
  <c r="R54" i="39"/>
  <c r="AF54" i="39"/>
  <c r="AE54" i="39"/>
  <c r="AI51" i="39"/>
  <c r="AI113" i="39"/>
  <c r="AI105" i="38"/>
  <c r="H106" i="38"/>
  <c r="R106" i="38"/>
  <c r="M106" i="38"/>
  <c r="AD106" i="38"/>
  <c r="AF106" i="38"/>
  <c r="AE106" i="38"/>
  <c r="AH106" i="38"/>
  <c r="AG106" i="38"/>
  <c r="AI79" i="38"/>
  <c r="D81" i="38"/>
  <c r="AG80" i="38"/>
  <c r="R80" i="38"/>
  <c r="M80" i="38"/>
  <c r="H80" i="38"/>
  <c r="AD80" i="38"/>
  <c r="AH80" i="38"/>
  <c r="AE80" i="38"/>
  <c r="AF80" i="38"/>
  <c r="AI54" i="38"/>
  <c r="AL55" i="38"/>
  <c r="F8" i="41" s="1"/>
  <c r="AG55" i="38"/>
  <c r="R55" i="38"/>
  <c r="R58" i="38" s="1"/>
  <c r="H55" i="38"/>
  <c r="AD55" i="38"/>
  <c r="AD58" i="38" s="1"/>
  <c r="AH55" i="38"/>
  <c r="AH58" i="38" s="1"/>
  <c r="M55" i="38"/>
  <c r="M58" i="38" s="1"/>
  <c r="AE55" i="38"/>
  <c r="AF55" i="38"/>
  <c r="AF58" i="38" s="1"/>
  <c r="AL41" i="37"/>
  <c r="AL42" i="37"/>
  <c r="AL39" i="37"/>
  <c r="AL45" i="37"/>
  <c r="AL44" i="37"/>
  <c r="AL40" i="37"/>
  <c r="U97" i="37" s="1"/>
  <c r="AF50" i="37"/>
  <c r="AK46" i="37"/>
  <c r="AK44" i="37"/>
  <c r="AK41" i="37"/>
  <c r="AN44" i="37"/>
  <c r="AN39" i="37"/>
  <c r="AK42" i="37"/>
  <c r="AN40" i="37"/>
  <c r="AK40" i="37"/>
  <c r="AN41" i="37"/>
  <c r="AN42" i="37"/>
  <c r="AD50" i="37"/>
  <c r="AN43" i="37"/>
  <c r="AK43" i="37"/>
  <c r="AN46" i="37"/>
  <c r="AN47" i="37"/>
  <c r="D9" i="41" s="1"/>
  <c r="AN45" i="37"/>
  <c r="AK45" i="37"/>
  <c r="AH88" i="37"/>
  <c r="M88" i="37"/>
  <c r="R88" i="37"/>
  <c r="R69" i="37"/>
  <c r="M69" i="37"/>
  <c r="AH69" i="37"/>
  <c r="AE50" i="37"/>
  <c r="AL46" i="37"/>
  <c r="AL47" i="37"/>
  <c r="D8" i="41" s="1"/>
  <c r="AL43" i="37"/>
  <c r="H86" i="32"/>
  <c r="AL74" i="32"/>
  <c r="E12" i="41" s="1"/>
  <c r="P91" i="32"/>
  <c r="AH86" i="32"/>
  <c r="AD86" i="32"/>
  <c r="P88" i="32"/>
  <c r="P97" i="32"/>
  <c r="P93" i="32"/>
  <c r="P90" i="32"/>
  <c r="P96" i="32"/>
  <c r="P87" i="32"/>
  <c r="P92" i="32"/>
  <c r="P95" i="32"/>
  <c r="P86" i="32"/>
  <c r="P89" i="32"/>
  <c r="P94" i="32"/>
  <c r="W100" i="32"/>
  <c r="AA100" i="32"/>
  <c r="H87" i="32"/>
  <c r="P69" i="32"/>
  <c r="P70" i="32"/>
  <c r="P68" i="32"/>
  <c r="P63" i="32"/>
  <c r="P71" i="32"/>
  <c r="P64" i="32"/>
  <c r="P72" i="32"/>
  <c r="P65" i="32"/>
  <c r="P73" i="32"/>
  <c r="P66" i="32"/>
  <c r="P74" i="32"/>
  <c r="AH63" i="32"/>
  <c r="W77" i="32"/>
  <c r="AD63" i="32"/>
  <c r="AA77" i="32"/>
  <c r="Y90" i="32" l="1"/>
  <c r="X90" i="32"/>
  <c r="X69" i="32"/>
  <c r="Y69" i="32"/>
  <c r="X93" i="32"/>
  <c r="Y93" i="32"/>
  <c r="X97" i="32"/>
  <c r="Y97" i="32"/>
  <c r="Y63" i="32"/>
  <c r="X63" i="32"/>
  <c r="X96" i="32"/>
  <c r="Y96" i="32"/>
  <c r="X74" i="32"/>
  <c r="Y74" i="32"/>
  <c r="Y88" i="32"/>
  <c r="X88" i="32"/>
  <c r="X70" i="32"/>
  <c r="Y70" i="32"/>
  <c r="Y66" i="32"/>
  <c r="X66" i="32"/>
  <c r="Y73" i="32"/>
  <c r="X73" i="32"/>
  <c r="X94" i="32"/>
  <c r="Y94" i="32"/>
  <c r="X68" i="32"/>
  <c r="Y68" i="32"/>
  <c r="Y65" i="32"/>
  <c r="X65" i="32"/>
  <c r="X89" i="32"/>
  <c r="Y89" i="32"/>
  <c r="X91" i="32"/>
  <c r="Y91" i="32"/>
  <c r="X92" i="32"/>
  <c r="Y92" i="32"/>
  <c r="X71" i="32"/>
  <c r="Y71" i="32"/>
  <c r="Y87" i="32"/>
  <c r="X87" i="32"/>
  <c r="X72" i="32"/>
  <c r="Y72" i="32"/>
  <c r="Y86" i="32"/>
  <c r="X86" i="32"/>
  <c r="Y64" i="32"/>
  <c r="X64" i="32"/>
  <c r="X95" i="32"/>
  <c r="Y95" i="32"/>
  <c r="AG116" i="39"/>
  <c r="H116" i="39"/>
  <c r="AH116" i="39"/>
  <c r="R116" i="39"/>
  <c r="AD116" i="39"/>
  <c r="M116" i="39"/>
  <c r="AE116" i="39"/>
  <c r="AF116" i="39"/>
  <c r="AI115" i="39"/>
  <c r="AI85" i="39"/>
  <c r="D87" i="39"/>
  <c r="AG86" i="39"/>
  <c r="M86" i="39"/>
  <c r="H86" i="39"/>
  <c r="AD86" i="39"/>
  <c r="R86" i="39"/>
  <c r="AH86" i="39"/>
  <c r="AF86" i="39"/>
  <c r="AE86" i="39"/>
  <c r="AI54" i="39"/>
  <c r="D56" i="39"/>
  <c r="AG55" i="39"/>
  <c r="M55" i="39"/>
  <c r="H55" i="39"/>
  <c r="AD55" i="39"/>
  <c r="R55" i="39"/>
  <c r="AH55" i="39"/>
  <c r="AF55" i="39"/>
  <c r="AE55" i="39"/>
  <c r="AI106" i="38"/>
  <c r="R107" i="38"/>
  <c r="H107" i="38"/>
  <c r="M107" i="38"/>
  <c r="AD107" i="38"/>
  <c r="AF107" i="38"/>
  <c r="AE107" i="38"/>
  <c r="AG107" i="38"/>
  <c r="AH107" i="38"/>
  <c r="AL53" i="38"/>
  <c r="D82" i="38"/>
  <c r="AG81" i="38"/>
  <c r="AD81" i="38"/>
  <c r="H81" i="38"/>
  <c r="R81" i="38"/>
  <c r="AH81" i="38"/>
  <c r="M81" i="38"/>
  <c r="AE81" i="38"/>
  <c r="AF81" i="38"/>
  <c r="AL54" i="38"/>
  <c r="AL51" i="38"/>
  <c r="AI80" i="38"/>
  <c r="AN44" i="38"/>
  <c r="AN46" i="38"/>
  <c r="AK54" i="38"/>
  <c r="AN41" i="38"/>
  <c r="AN39" i="38"/>
  <c r="AL45" i="38"/>
  <c r="U126" i="38" s="1"/>
  <c r="AL50" i="38"/>
  <c r="AL44" i="38"/>
  <c r="U125" i="38" s="1"/>
  <c r="O126" i="38" s="1"/>
  <c r="Q126" i="38" s="1"/>
  <c r="AI55" i="38"/>
  <c r="AN55" i="38"/>
  <c r="F9" i="41" s="1"/>
  <c r="AK55" i="38"/>
  <c r="F7" i="41" s="1"/>
  <c r="AK47" i="38"/>
  <c r="AK53" i="38"/>
  <c r="AN48" i="38"/>
  <c r="AN49" i="38"/>
  <c r="AK50" i="38"/>
  <c r="AK51" i="38"/>
  <c r="AK49" i="38"/>
  <c r="AK43" i="38"/>
  <c r="AN47" i="38"/>
  <c r="AN54" i="38"/>
  <c r="AN51" i="38"/>
  <c r="AK48" i="38"/>
  <c r="AN42" i="38"/>
  <c r="AN53" i="38"/>
  <c r="AL41" i="38"/>
  <c r="U122" i="38" s="1"/>
  <c r="AK40" i="38"/>
  <c r="AN40" i="38"/>
  <c r="AL42" i="38"/>
  <c r="U123" i="38" s="1"/>
  <c r="AK46" i="38"/>
  <c r="AN43" i="38"/>
  <c r="AL40" i="38"/>
  <c r="U121" i="38" s="1"/>
  <c r="O122" i="38" s="1"/>
  <c r="Q122" i="38" s="1"/>
  <c r="AN50" i="38"/>
  <c r="L148" i="38"/>
  <c r="N148" i="38" s="1"/>
  <c r="AK45" i="38"/>
  <c r="AK52" i="38"/>
  <c r="AN52" i="38"/>
  <c r="AL48" i="38"/>
  <c r="AL46" i="38"/>
  <c r="AL47" i="38"/>
  <c r="AL49" i="38"/>
  <c r="AK44" i="38"/>
  <c r="AN45" i="38"/>
  <c r="AK41" i="38"/>
  <c r="AE58" i="38"/>
  <c r="AL43" i="38"/>
  <c r="U124" i="38" s="1"/>
  <c r="AL52" i="38"/>
  <c r="AK42" i="38"/>
  <c r="AL39" i="38"/>
  <c r="AN65" i="37"/>
  <c r="AS65" i="37" s="1"/>
  <c r="AN63" i="37"/>
  <c r="AS63" i="37" s="1"/>
  <c r="AQ66" i="37"/>
  <c r="AL84" i="37"/>
  <c r="AN62" i="37"/>
  <c r="AS62" i="37" s="1"/>
  <c r="M120" i="37" s="1"/>
  <c r="AN58" i="37"/>
  <c r="AS58" i="37" s="1"/>
  <c r="AN60" i="37"/>
  <c r="AS60" i="37" s="1"/>
  <c r="AD69" i="37"/>
  <c r="AK59" i="37"/>
  <c r="AQ59" i="37" s="1"/>
  <c r="AK61" i="37"/>
  <c r="AQ61" i="37" s="1"/>
  <c r="AN59" i="37"/>
  <c r="AS59" i="37" s="1"/>
  <c r="M117" i="37" s="1"/>
  <c r="AK62" i="37"/>
  <c r="AQ62" i="37" s="1"/>
  <c r="AK60" i="37"/>
  <c r="AQ60" i="37" s="1"/>
  <c r="K98" i="37" s="1"/>
  <c r="AK63" i="37"/>
  <c r="AQ63" i="37" s="1"/>
  <c r="K101" i="37" s="1"/>
  <c r="AN61" i="37"/>
  <c r="AS61" i="37" s="1"/>
  <c r="AK65" i="37"/>
  <c r="AQ65" i="37" s="1"/>
  <c r="K103" i="37" s="1"/>
  <c r="AK79" i="37"/>
  <c r="AD88" i="37"/>
  <c r="AN77" i="37"/>
  <c r="AN80" i="37"/>
  <c r="AN79" i="37"/>
  <c r="AN78" i="37"/>
  <c r="AK78" i="37"/>
  <c r="AK81" i="37"/>
  <c r="AK80" i="37"/>
  <c r="AN81" i="37"/>
  <c r="AN83" i="37"/>
  <c r="AK82" i="37"/>
  <c r="AN85" i="37"/>
  <c r="D17" i="41" s="1"/>
  <c r="AL65" i="37"/>
  <c r="AR65" i="37" s="1"/>
  <c r="S103" i="37" s="1"/>
  <c r="AN66" i="37"/>
  <c r="P97" i="37"/>
  <c r="AN84" i="37"/>
  <c r="AL58" i="37"/>
  <c r="AR58" i="37" s="1"/>
  <c r="AF69" i="37"/>
  <c r="AL59" i="37"/>
  <c r="AR59" i="37" s="1"/>
  <c r="AL61" i="37"/>
  <c r="AR61" i="37" s="1"/>
  <c r="AL62" i="37"/>
  <c r="AR62" i="37" s="1"/>
  <c r="AL60" i="37"/>
  <c r="AR60" i="37" s="1"/>
  <c r="S98" i="37" s="1"/>
  <c r="AL64" i="37"/>
  <c r="AR64" i="37" s="1"/>
  <c r="AL66" i="37"/>
  <c r="AL63" i="37"/>
  <c r="AR63" i="37" s="1"/>
  <c r="S101" i="37" s="1"/>
  <c r="AE88" i="37"/>
  <c r="AL85" i="37"/>
  <c r="D16" i="41" s="1"/>
  <c r="AK83" i="37"/>
  <c r="AF88" i="37"/>
  <c r="AL77" i="37"/>
  <c r="AL78" i="37"/>
  <c r="AL79" i="37"/>
  <c r="U98" i="37" s="1"/>
  <c r="O99" i="37" s="1"/>
  <c r="Q99" i="37" s="1"/>
  <c r="AL82" i="37"/>
  <c r="U101" i="37" s="1"/>
  <c r="O102" i="37" s="1"/>
  <c r="Q102" i="37" s="1"/>
  <c r="AL81" i="37"/>
  <c r="U100" i="37" s="1"/>
  <c r="O101" i="37" s="1"/>
  <c r="Q101" i="37" s="1"/>
  <c r="AL80" i="37"/>
  <c r="U99" i="37" s="1"/>
  <c r="O100" i="37" s="1"/>
  <c r="Q100" i="37" s="1"/>
  <c r="AL83" i="37"/>
  <c r="U102" i="37" s="1"/>
  <c r="O103" i="37" s="1"/>
  <c r="Q103" i="37" s="1"/>
  <c r="L116" i="37"/>
  <c r="AN82" i="37"/>
  <c r="AE69" i="37"/>
  <c r="AN64" i="37"/>
  <c r="AS64" i="37" s="1"/>
  <c r="M122" i="37" s="1"/>
  <c r="O98" i="37"/>
  <c r="Q98" i="37" s="1"/>
  <c r="AK84" i="37"/>
  <c r="AK64" i="37"/>
  <c r="AQ64" i="37" s="1"/>
  <c r="M87" i="32"/>
  <c r="H68" i="32"/>
  <c r="M72" i="32"/>
  <c r="H72" i="32"/>
  <c r="M74" i="32"/>
  <c r="H69" i="32"/>
  <c r="H71" i="32"/>
  <c r="H65" i="32"/>
  <c r="M68" i="32"/>
  <c r="M73" i="32"/>
  <c r="M66" i="32"/>
  <c r="M64" i="32"/>
  <c r="M69" i="32"/>
  <c r="H70" i="32"/>
  <c r="M67" i="32"/>
  <c r="H66" i="32"/>
  <c r="M70" i="32"/>
  <c r="M71" i="32"/>
  <c r="H64" i="32"/>
  <c r="M65" i="32"/>
  <c r="H67" i="32"/>
  <c r="H73" i="32"/>
  <c r="H74" i="32"/>
  <c r="M86" i="32"/>
  <c r="L100" i="32"/>
  <c r="M63" i="32"/>
  <c r="L77" i="32"/>
  <c r="AB88" i="32"/>
  <c r="I120" i="32"/>
  <c r="AB90" i="32"/>
  <c r="AB89" i="32"/>
  <c r="I118" i="32"/>
  <c r="AE87" i="32"/>
  <c r="AF87" i="32"/>
  <c r="P100" i="32"/>
  <c r="R87" i="32"/>
  <c r="AD87" i="32"/>
  <c r="AG87" i="32"/>
  <c r="AF86" i="32"/>
  <c r="AH87" i="32"/>
  <c r="Q100" i="32"/>
  <c r="R86" i="32"/>
  <c r="AD64" i="32"/>
  <c r="R64" i="32"/>
  <c r="AH64" i="32"/>
  <c r="AG64" i="32"/>
  <c r="Q77" i="32"/>
  <c r="R63" i="32"/>
  <c r="I117" i="32" l="1"/>
  <c r="I119" i="32"/>
  <c r="AB92" i="32"/>
  <c r="I116" i="32"/>
  <c r="AR66" i="37"/>
  <c r="D12" i="41"/>
  <c r="AA103" i="37"/>
  <c r="AA98" i="37"/>
  <c r="AS66" i="37"/>
  <c r="D13" i="41"/>
  <c r="M126" i="37"/>
  <c r="AI116" i="39"/>
  <c r="AG117" i="39"/>
  <c r="H117" i="39"/>
  <c r="AE117" i="39"/>
  <c r="AD117" i="39"/>
  <c r="M117" i="39"/>
  <c r="R117" i="39"/>
  <c r="AF117" i="39"/>
  <c r="AH117" i="39"/>
  <c r="AI86" i="39"/>
  <c r="D88" i="39"/>
  <c r="AG87" i="39"/>
  <c r="AD87" i="39"/>
  <c r="H87" i="39"/>
  <c r="R87" i="39"/>
  <c r="AE87" i="39"/>
  <c r="AF87" i="39"/>
  <c r="M87" i="39"/>
  <c r="AH87" i="39"/>
  <c r="D57" i="39"/>
  <c r="AG56" i="39"/>
  <c r="AD56" i="39"/>
  <c r="H56" i="39"/>
  <c r="AH56" i="39"/>
  <c r="M56" i="39"/>
  <c r="AF56" i="39"/>
  <c r="AE56" i="39"/>
  <c r="R56" i="39"/>
  <c r="AI55" i="39"/>
  <c r="AI107" i="38"/>
  <c r="R108" i="38"/>
  <c r="H108" i="38"/>
  <c r="M108" i="38"/>
  <c r="AG108" i="38"/>
  <c r="AD108" i="38"/>
  <c r="AH108" i="38"/>
  <c r="AF108" i="38"/>
  <c r="AE108" i="38"/>
  <c r="AG82" i="38"/>
  <c r="H82" i="38"/>
  <c r="AH82" i="38"/>
  <c r="AH85" i="38" s="1"/>
  <c r="AD82" i="38"/>
  <c r="AE82" i="38"/>
  <c r="R82" i="38"/>
  <c r="R85" i="38" s="1"/>
  <c r="M82" i="38"/>
  <c r="M85" i="38" s="1"/>
  <c r="AF82" i="38"/>
  <c r="AF85" i="38" s="1"/>
  <c r="AL82" i="38"/>
  <c r="F12" i="41" s="1"/>
  <c r="AI81" i="38"/>
  <c r="O148" i="38"/>
  <c r="P121" i="38"/>
  <c r="G121" i="38"/>
  <c r="G139" i="38" s="1"/>
  <c r="AB39" i="38"/>
  <c r="AB58" i="38" s="1"/>
  <c r="AG39" i="38"/>
  <c r="E148" i="38"/>
  <c r="Z58" i="38"/>
  <c r="O123" i="38"/>
  <c r="Q123" i="38" s="1"/>
  <c r="R122" i="38"/>
  <c r="R126" i="38"/>
  <c r="O127" i="38"/>
  <c r="Q127" i="38" s="1"/>
  <c r="O125" i="38"/>
  <c r="Q125" i="38" s="1"/>
  <c r="R125" i="38" s="1"/>
  <c r="O124" i="38"/>
  <c r="Q124" i="38" s="1"/>
  <c r="S107" i="37"/>
  <c r="AQ82" i="37"/>
  <c r="L101" i="37" s="1"/>
  <c r="AQ80" i="37"/>
  <c r="R100" i="37"/>
  <c r="AR78" i="37"/>
  <c r="AR83" i="37"/>
  <c r="AS84" i="37"/>
  <c r="AR79" i="37"/>
  <c r="T98" i="37" s="1"/>
  <c r="R98" i="37" s="1"/>
  <c r="AS79" i="37"/>
  <c r="AS82" i="37"/>
  <c r="AS80" i="37"/>
  <c r="AQ83" i="37"/>
  <c r="AS83" i="37"/>
  <c r="AS81" i="37"/>
  <c r="AQ78" i="37"/>
  <c r="AS85" i="37"/>
  <c r="AS78" i="37"/>
  <c r="AR80" i="37"/>
  <c r="Z88" i="37"/>
  <c r="AG77" i="37"/>
  <c r="AB77" i="37"/>
  <c r="AB88" i="37" s="1"/>
  <c r="N116" i="37"/>
  <c r="AS77" i="37"/>
  <c r="AR81" i="37"/>
  <c r="U104" i="37"/>
  <c r="D20" i="41" s="1"/>
  <c r="AR85" i="37"/>
  <c r="P107" i="37"/>
  <c r="Q97" i="37"/>
  <c r="R102" i="37"/>
  <c r="AQ81" i="37"/>
  <c r="AQ79" i="37"/>
  <c r="L98" i="37" s="1"/>
  <c r="U103" i="37"/>
  <c r="AR84" i="37"/>
  <c r="T103" i="37" s="1"/>
  <c r="AR82" i="37"/>
  <c r="T101" i="37" s="1"/>
  <c r="R101" i="37" s="1"/>
  <c r="AQ85" i="37"/>
  <c r="Z69" i="37"/>
  <c r="AG58" i="37"/>
  <c r="AB58" i="37"/>
  <c r="AB69" i="37" s="1"/>
  <c r="K107" i="37"/>
  <c r="AQ84" i="37"/>
  <c r="L103" i="37" s="1"/>
  <c r="E116" i="37"/>
  <c r="Z50" i="37"/>
  <c r="AG39" i="37"/>
  <c r="AB39" i="37"/>
  <c r="AB50" i="37" s="1"/>
  <c r="G97" i="37"/>
  <c r="G107" i="37" s="1"/>
  <c r="AR77" i="37"/>
  <c r="R99" i="37"/>
  <c r="R88" i="32"/>
  <c r="H88" i="32"/>
  <c r="M88" i="32"/>
  <c r="M77" i="32"/>
  <c r="AB93" i="32"/>
  <c r="AB94" i="32"/>
  <c r="AB91" i="32"/>
  <c r="AB95" i="32"/>
  <c r="AB97" i="32"/>
  <c r="AF88" i="32"/>
  <c r="AB96" i="32"/>
  <c r="AE86" i="32"/>
  <c r="X100" i="32"/>
  <c r="AB86" i="32"/>
  <c r="Y100" i="32"/>
  <c r="AB87" i="32"/>
  <c r="AI87" i="32"/>
  <c r="AG88" i="32"/>
  <c r="AH88" i="32"/>
  <c r="AD88" i="32"/>
  <c r="AE88" i="32"/>
  <c r="R65" i="32"/>
  <c r="AH65" i="32"/>
  <c r="AG65" i="32"/>
  <c r="AD65" i="32"/>
  <c r="W148" i="38" l="1"/>
  <c r="T107" i="37"/>
  <c r="AL81" i="38"/>
  <c r="AR81" i="38" s="1"/>
  <c r="AI117" i="39"/>
  <c r="AG118" i="39"/>
  <c r="H118" i="39"/>
  <c r="R118" i="39"/>
  <c r="AH118" i="39"/>
  <c r="AD118" i="39"/>
  <c r="M118" i="39"/>
  <c r="AF118" i="39"/>
  <c r="AE118" i="39"/>
  <c r="AI87" i="39"/>
  <c r="D89" i="39"/>
  <c r="AG88" i="39"/>
  <c r="H88" i="39"/>
  <c r="AD88" i="39"/>
  <c r="M88" i="39"/>
  <c r="R88" i="39"/>
  <c r="AH88" i="39"/>
  <c r="AE88" i="39"/>
  <c r="AF88" i="39"/>
  <c r="D58" i="39"/>
  <c r="AG57" i="39"/>
  <c r="H57" i="39"/>
  <c r="AE57" i="39"/>
  <c r="AF57" i="39"/>
  <c r="AD57" i="39"/>
  <c r="M57" i="39"/>
  <c r="R57" i="39"/>
  <c r="AH57" i="39"/>
  <c r="AI56" i="39"/>
  <c r="AL71" i="38"/>
  <c r="AR71" i="38" s="1"/>
  <c r="AK68" i="38"/>
  <c r="AQ68" i="38" s="1"/>
  <c r="AI108" i="38"/>
  <c r="AL66" i="38"/>
  <c r="AR66" i="38" s="1"/>
  <c r="AL79" i="38"/>
  <c r="AR79" i="38" s="1"/>
  <c r="AD85" i="38"/>
  <c r="AG66" i="38" s="1"/>
  <c r="AK66" i="38" s="1"/>
  <c r="H109" i="38"/>
  <c r="R109" i="38"/>
  <c r="R112" i="38" s="1"/>
  <c r="M109" i="38"/>
  <c r="M112" i="38" s="1"/>
  <c r="AH109" i="38"/>
  <c r="AL109" i="38"/>
  <c r="AF109" i="38"/>
  <c r="AF112" i="38" s="1"/>
  <c r="AE109" i="38"/>
  <c r="AG109" i="38"/>
  <c r="AD109" i="38"/>
  <c r="AN68" i="38"/>
  <c r="AS68" i="38" s="1"/>
  <c r="AK69" i="38"/>
  <c r="AK80" i="38"/>
  <c r="AN81" i="38"/>
  <c r="AS81" i="38" s="1"/>
  <c r="AN67" i="38"/>
  <c r="AN69" i="38"/>
  <c r="AN80" i="38"/>
  <c r="AS80" i="38" s="1"/>
  <c r="AN76" i="38"/>
  <c r="AL69" i="38"/>
  <c r="AI82" i="38"/>
  <c r="AN82" i="38"/>
  <c r="F13" i="41" s="1"/>
  <c r="AK82" i="38"/>
  <c r="F11" i="41" s="1"/>
  <c r="AK78" i="38"/>
  <c r="AN74" i="38"/>
  <c r="AN78" i="38"/>
  <c r="AK77" i="38"/>
  <c r="AK76" i="38"/>
  <c r="AK74" i="38"/>
  <c r="AN75" i="38"/>
  <c r="AN73" i="38"/>
  <c r="AK72" i="38"/>
  <c r="AN70" i="38"/>
  <c r="AK81" i="38"/>
  <c r="AL80" i="38"/>
  <c r="AK75" i="38"/>
  <c r="AK70" i="38"/>
  <c r="AK71" i="38"/>
  <c r="AN66" i="38"/>
  <c r="AL67" i="38"/>
  <c r="AR82" i="38"/>
  <c r="AK73" i="38"/>
  <c r="AN71" i="38"/>
  <c r="AK67" i="38"/>
  <c r="AL78" i="38"/>
  <c r="AR78" i="38" s="1"/>
  <c r="AL70" i="38"/>
  <c r="AL72" i="38"/>
  <c r="AL74" i="38"/>
  <c r="AL75" i="38"/>
  <c r="AR75" i="38" s="1"/>
  <c r="AL76" i="38"/>
  <c r="AR76" i="38" s="1"/>
  <c r="AK79" i="38"/>
  <c r="AE85" i="38"/>
  <c r="AN77" i="38"/>
  <c r="AN79" i="38"/>
  <c r="AN72" i="38"/>
  <c r="AL73" i="38"/>
  <c r="AL68" i="38"/>
  <c r="AL77" i="38"/>
  <c r="AR77" i="38" s="1"/>
  <c r="P148" i="38"/>
  <c r="L149" i="38" s="1"/>
  <c r="N149" i="38" s="1"/>
  <c r="F148" i="38"/>
  <c r="G148" i="38" s="1"/>
  <c r="R124" i="38"/>
  <c r="AG58" i="38"/>
  <c r="AI39" i="38"/>
  <c r="AI58" i="38" s="1"/>
  <c r="AK39" i="38"/>
  <c r="R123" i="38"/>
  <c r="P139" i="38"/>
  <c r="Q121" i="38"/>
  <c r="R121" i="38" s="1"/>
  <c r="L107" i="37"/>
  <c r="R97" i="37"/>
  <c r="F116" i="37"/>
  <c r="O116" i="37"/>
  <c r="O104" i="37"/>
  <c r="Q104" i="37" s="1"/>
  <c r="R103" i="37"/>
  <c r="AG88" i="37"/>
  <c r="AI77" i="37"/>
  <c r="AI88" i="37" s="1"/>
  <c r="AK77" i="37"/>
  <c r="AG50" i="37"/>
  <c r="AI39" i="37"/>
  <c r="AI50" i="37" s="1"/>
  <c r="AK39" i="37"/>
  <c r="AG69" i="37"/>
  <c r="AI58" i="37"/>
  <c r="AI69" i="37" s="1"/>
  <c r="AK58" i="37"/>
  <c r="H89" i="32"/>
  <c r="M89" i="32"/>
  <c r="AI86" i="32"/>
  <c r="AI88" i="32"/>
  <c r="AG89" i="32"/>
  <c r="AD89" i="32"/>
  <c r="AE89" i="32"/>
  <c r="AH89" i="32"/>
  <c r="AF89" i="32"/>
  <c r="R89" i="32"/>
  <c r="AG66" i="32"/>
  <c r="AD66" i="32"/>
  <c r="AH66" i="32"/>
  <c r="R66" i="32"/>
  <c r="O54" i="32"/>
  <c r="J54" i="32"/>
  <c r="K46" i="32" s="1"/>
  <c r="T143" i="32"/>
  <c r="F51" i="32"/>
  <c r="T142" i="32"/>
  <c r="F50" i="32"/>
  <c r="W50" i="32" s="1"/>
  <c r="T141" i="32"/>
  <c r="F49" i="32"/>
  <c r="W49" i="32" s="1"/>
  <c r="T140" i="32"/>
  <c r="F48" i="32"/>
  <c r="W48" i="32" s="1"/>
  <c r="T139" i="32"/>
  <c r="F47" i="32"/>
  <c r="W47" i="32" s="1"/>
  <c r="T138" i="32"/>
  <c r="F46" i="32"/>
  <c r="W46" i="32" s="1"/>
  <c r="Z123" i="32" s="1"/>
  <c r="T137" i="32"/>
  <c r="F45" i="32"/>
  <c r="W45" i="32" s="1"/>
  <c r="T136" i="32"/>
  <c r="F44" i="32"/>
  <c r="W44" i="32" s="1"/>
  <c r="T135" i="32"/>
  <c r="F43" i="32"/>
  <c r="W43" i="32" s="1"/>
  <c r="T134" i="32"/>
  <c r="T133" i="32"/>
  <c r="F41" i="32"/>
  <c r="W41" i="32" s="1"/>
  <c r="F40" i="32"/>
  <c r="W40" i="32" s="1"/>
  <c r="D40" i="32"/>
  <c r="U136" i="38" l="1"/>
  <c r="F20" i="41" s="1"/>
  <c r="F16" i="41"/>
  <c r="I116" i="37"/>
  <c r="P116" i="37"/>
  <c r="L117" i="37" s="1"/>
  <c r="N117" i="37" s="1"/>
  <c r="AL108" i="38"/>
  <c r="U135" i="38" s="1"/>
  <c r="O136" i="38" s="1"/>
  <c r="Q136" i="38" s="1"/>
  <c r="AA51" i="32"/>
  <c r="AO51" i="32" s="1"/>
  <c r="E10" i="41" s="1"/>
  <c r="AN100" i="38"/>
  <c r="AS100" i="38" s="1"/>
  <c r="AA47" i="32"/>
  <c r="G48" i="32"/>
  <c r="AA43" i="32"/>
  <c r="X135" i="32" s="1"/>
  <c r="G44" i="32"/>
  <c r="G43" i="32"/>
  <c r="G40" i="32"/>
  <c r="AA40" i="32"/>
  <c r="G41" i="32"/>
  <c r="AA45" i="32"/>
  <c r="X137" i="32" s="1"/>
  <c r="G46" i="32"/>
  <c r="G50" i="32"/>
  <c r="AA44" i="32"/>
  <c r="X136" i="32" s="1"/>
  <c r="G45" i="32"/>
  <c r="G49" i="32"/>
  <c r="S134" i="32"/>
  <c r="G42" i="32"/>
  <c r="AA41" i="32"/>
  <c r="X133" i="32" s="1"/>
  <c r="AA42" i="32"/>
  <c r="X134" i="32" s="1"/>
  <c r="AA46" i="32"/>
  <c r="G47" i="32"/>
  <c r="G51" i="32"/>
  <c r="AI118" i="39"/>
  <c r="AG119" i="39"/>
  <c r="M119" i="39"/>
  <c r="AD119" i="39"/>
  <c r="H119" i="39"/>
  <c r="R119" i="39"/>
  <c r="AF119" i="39"/>
  <c r="AH119" i="39"/>
  <c r="AE119" i="39"/>
  <c r="AI88" i="39"/>
  <c r="D90" i="39"/>
  <c r="AG89" i="39"/>
  <c r="H89" i="39"/>
  <c r="AD89" i="39"/>
  <c r="R89" i="39"/>
  <c r="AH89" i="39"/>
  <c r="M89" i="39"/>
  <c r="AF89" i="39"/>
  <c r="AE89" i="39"/>
  <c r="AI57" i="39"/>
  <c r="D59" i="39"/>
  <c r="AG58" i="39"/>
  <c r="H58" i="39"/>
  <c r="AD58" i="39"/>
  <c r="M58" i="39"/>
  <c r="R58" i="39"/>
  <c r="AF58" i="39"/>
  <c r="AH58" i="39"/>
  <c r="AE58" i="39"/>
  <c r="AB66" i="38"/>
  <c r="AB85" i="38" s="1"/>
  <c r="Z85" i="38"/>
  <c r="AN98" i="38"/>
  <c r="AS98" i="38" s="1"/>
  <c r="AN102" i="38"/>
  <c r="AS102" i="38" s="1"/>
  <c r="AL93" i="38"/>
  <c r="AR93" i="38" s="1"/>
  <c r="AK105" i="38"/>
  <c r="AQ105" i="38" s="1"/>
  <c r="AK100" i="38"/>
  <c r="AQ100" i="38" s="1"/>
  <c r="L127" i="38" s="1"/>
  <c r="AL101" i="38"/>
  <c r="U128" i="38" s="1"/>
  <c r="O129" i="38" s="1"/>
  <c r="Q129" i="38" s="1"/>
  <c r="AL100" i="38"/>
  <c r="U127" i="38" s="1"/>
  <c r="O128" i="38" s="1"/>
  <c r="Q128" i="38" s="1"/>
  <c r="AL103" i="38"/>
  <c r="AL102" i="38"/>
  <c r="AK107" i="38"/>
  <c r="AQ107" i="38" s="1"/>
  <c r="AK97" i="38"/>
  <c r="AQ97" i="38" s="1"/>
  <c r="AK102" i="38"/>
  <c r="AQ102" i="38" s="1"/>
  <c r="AK98" i="38"/>
  <c r="AQ98" i="38" s="1"/>
  <c r="AN94" i="38"/>
  <c r="AS94" i="38" s="1"/>
  <c r="AL104" i="38"/>
  <c r="AK94" i="38"/>
  <c r="AQ94" i="38" s="1"/>
  <c r="AL105" i="38"/>
  <c r="AN105" i="38"/>
  <c r="AS105" i="38" s="1"/>
  <c r="AH112" i="38"/>
  <c r="AL94" i="38"/>
  <c r="AR94" i="38" s="1"/>
  <c r="AK101" i="38"/>
  <c r="AQ101" i="38" s="1"/>
  <c r="AK104" i="38"/>
  <c r="AQ104" i="38" s="1"/>
  <c r="AN97" i="38"/>
  <c r="AS97" i="38" s="1"/>
  <c r="AL96" i="38"/>
  <c r="AR96" i="38" s="1"/>
  <c r="AR109" i="38"/>
  <c r="AK96" i="38"/>
  <c r="AQ96" i="38" s="1"/>
  <c r="AN96" i="38"/>
  <c r="AS96" i="38" s="1"/>
  <c r="AE112" i="38"/>
  <c r="AL95" i="38"/>
  <c r="AR95" i="38" s="1"/>
  <c r="AN106" i="38"/>
  <c r="AS106" i="38" s="1"/>
  <c r="AK99" i="38"/>
  <c r="AQ99" i="38" s="1"/>
  <c r="AN99" i="38"/>
  <c r="AS99" i="38" s="1"/>
  <c r="AL97" i="38"/>
  <c r="AR97" i="38" s="1"/>
  <c r="AL99" i="38"/>
  <c r="AR99" i="38" s="1"/>
  <c r="AK106" i="38"/>
  <c r="AQ106" i="38" s="1"/>
  <c r="AK95" i="38"/>
  <c r="AQ95" i="38" s="1"/>
  <c r="AN95" i="38"/>
  <c r="AS95" i="38" s="1"/>
  <c r="AL106" i="38"/>
  <c r="U133" i="38" s="1"/>
  <c r="AN109" i="38"/>
  <c r="AI109" i="38"/>
  <c r="AK109" i="38"/>
  <c r="AN104" i="38"/>
  <c r="AS104" i="38" s="1"/>
  <c r="AK103" i="38"/>
  <c r="AQ103" i="38" s="1"/>
  <c r="AN101" i="38"/>
  <c r="AS101" i="38" s="1"/>
  <c r="AN103" i="38"/>
  <c r="AS103" i="38" s="1"/>
  <c r="AK108" i="38"/>
  <c r="AQ108" i="38" s="1"/>
  <c r="AL107" i="38"/>
  <c r="U134" i="38" s="1"/>
  <c r="AL98" i="38"/>
  <c r="AR98" i="38" s="1"/>
  <c r="AN93" i="38"/>
  <c r="AS93" i="38" s="1"/>
  <c r="AD112" i="38"/>
  <c r="AN108" i="38"/>
  <c r="AS108" i="38" s="1"/>
  <c r="AN107" i="38"/>
  <c r="AS107" i="38" s="1"/>
  <c r="AQ75" i="38"/>
  <c r="AQ78" i="38"/>
  <c r="AS77" i="38"/>
  <c r="AS75" i="38"/>
  <c r="AQ69" i="38"/>
  <c r="AQ76" i="38"/>
  <c r="AQ77" i="38"/>
  <c r="AS78" i="38"/>
  <c r="AS76" i="38"/>
  <c r="AQ80" i="38"/>
  <c r="AS69" i="38"/>
  <c r="AS67" i="38"/>
  <c r="AS74" i="38"/>
  <c r="AR72" i="38"/>
  <c r="AQ72" i="38"/>
  <c r="AS70" i="38"/>
  <c r="AR70" i="38"/>
  <c r="AS73" i="38"/>
  <c r="AQ82" i="38"/>
  <c r="AS79" i="38"/>
  <c r="AR68" i="38"/>
  <c r="AQ79" i="38"/>
  <c r="AR67" i="38"/>
  <c r="AS82" i="38"/>
  <c r="AQ81" i="38"/>
  <c r="AR74" i="38"/>
  <c r="AR73" i="38"/>
  <c r="S127" i="38" s="1"/>
  <c r="AQ67" i="38"/>
  <c r="AS66" i="38"/>
  <c r="AI66" i="38"/>
  <c r="AI85" i="38" s="1"/>
  <c r="AG85" i="38"/>
  <c r="AQ74" i="38"/>
  <c r="AQ73" i="38"/>
  <c r="K127" i="38" s="1"/>
  <c r="AS72" i="38"/>
  <c r="M154" i="38" s="1"/>
  <c r="AS71" i="38"/>
  <c r="AQ71" i="38"/>
  <c r="AR80" i="38"/>
  <c r="AR69" i="38"/>
  <c r="AQ70" i="38"/>
  <c r="F121" i="38"/>
  <c r="X121" i="38" s="1"/>
  <c r="H148" i="38"/>
  <c r="I148" i="38"/>
  <c r="AQ66" i="38"/>
  <c r="T166" i="38"/>
  <c r="U148" i="38"/>
  <c r="O149" i="38"/>
  <c r="G116" i="37"/>
  <c r="AQ58" i="37"/>
  <c r="AQ77" i="37"/>
  <c r="R104" i="37"/>
  <c r="T126" i="37"/>
  <c r="U116" i="37"/>
  <c r="H116" i="37"/>
  <c r="F97" i="37"/>
  <c r="X97" i="37" s="1"/>
  <c r="W116" i="37"/>
  <c r="H40" i="32"/>
  <c r="S136" i="32"/>
  <c r="G113" i="32"/>
  <c r="H90" i="32"/>
  <c r="M90" i="32"/>
  <c r="AI89" i="32"/>
  <c r="AG90" i="32"/>
  <c r="AD90" i="32"/>
  <c r="AE90" i="32"/>
  <c r="AH90" i="32"/>
  <c r="R90" i="32"/>
  <c r="AF90" i="32"/>
  <c r="K42" i="32"/>
  <c r="P49" i="32"/>
  <c r="Y49" i="32" s="1"/>
  <c r="AH67" i="32"/>
  <c r="AG67" i="32"/>
  <c r="AD67" i="32"/>
  <c r="R67" i="32"/>
  <c r="P46" i="32"/>
  <c r="Y46" i="32" s="1"/>
  <c r="K40" i="32"/>
  <c r="P44" i="32"/>
  <c r="Y44" i="32" s="1"/>
  <c r="K47" i="32"/>
  <c r="K44" i="32"/>
  <c r="K50" i="32"/>
  <c r="P41" i="32"/>
  <c r="Y41" i="32" s="1"/>
  <c r="K45" i="32"/>
  <c r="K48" i="32"/>
  <c r="P48" i="32"/>
  <c r="Y48" i="32" s="1"/>
  <c r="K43" i="32"/>
  <c r="K49" i="32"/>
  <c r="P42" i="32"/>
  <c r="Y42" i="32" s="1"/>
  <c r="P43" i="32"/>
  <c r="Y43" i="32" s="1"/>
  <c r="P50" i="32"/>
  <c r="Y50" i="32" s="1"/>
  <c r="P51" i="32"/>
  <c r="Y51" i="32" s="1"/>
  <c r="K51" i="32"/>
  <c r="P40" i="32"/>
  <c r="Y40" i="32" s="1"/>
  <c r="K41" i="32"/>
  <c r="P45" i="32"/>
  <c r="Y45" i="32" s="1"/>
  <c r="P47" i="32"/>
  <c r="Y47" i="32" s="1"/>
  <c r="D41" i="32"/>
  <c r="AD39" i="32"/>
  <c r="AG40" i="32"/>
  <c r="AD40" i="32"/>
  <c r="K139" i="38" l="1"/>
  <c r="AA127" i="38"/>
  <c r="AA139" i="38" s="1"/>
  <c r="AS109" i="38"/>
  <c r="F17" i="41"/>
  <c r="AQ109" i="38"/>
  <c r="F15" i="41"/>
  <c r="M166" i="38"/>
  <c r="AH40" i="32"/>
  <c r="X132" i="32"/>
  <c r="P149" i="38"/>
  <c r="L150" i="38" s="1"/>
  <c r="N150" i="38" s="1"/>
  <c r="AR101" i="38"/>
  <c r="AR108" i="38"/>
  <c r="AA49" i="32"/>
  <c r="W54" i="32"/>
  <c r="AA50" i="32"/>
  <c r="AO50" i="32" s="1"/>
  <c r="J112" i="32"/>
  <c r="L43" i="32"/>
  <c r="Q43" i="32"/>
  <c r="Q47" i="32"/>
  <c r="L47" i="32"/>
  <c r="L49" i="32"/>
  <c r="Q49" i="32"/>
  <c r="L46" i="32"/>
  <c r="Q46" i="32"/>
  <c r="L44" i="32"/>
  <c r="Q44" i="32"/>
  <c r="AA48" i="32"/>
  <c r="J115" i="32"/>
  <c r="J114" i="32"/>
  <c r="G111" i="32"/>
  <c r="L45" i="32"/>
  <c r="Q45" i="32"/>
  <c r="S138" i="32"/>
  <c r="G115" i="32"/>
  <c r="J111" i="32"/>
  <c r="J113" i="32"/>
  <c r="L41" i="32"/>
  <c r="M41" i="32" s="1"/>
  <c r="Q41" i="32"/>
  <c r="R41" i="32" s="1"/>
  <c r="Q48" i="32"/>
  <c r="L48" i="32"/>
  <c r="L51" i="32"/>
  <c r="Q51" i="32"/>
  <c r="J110" i="32"/>
  <c r="S137" i="32"/>
  <c r="G114" i="32"/>
  <c r="J109" i="32"/>
  <c r="Q42" i="32"/>
  <c r="L42" i="32"/>
  <c r="Q50" i="32"/>
  <c r="L50" i="32"/>
  <c r="Q40" i="32"/>
  <c r="R40" i="32" s="1"/>
  <c r="L40" i="32"/>
  <c r="M40" i="32" s="1"/>
  <c r="AI119" i="39"/>
  <c r="AG120" i="39"/>
  <c r="H120" i="39"/>
  <c r="AD120" i="39"/>
  <c r="M120" i="39"/>
  <c r="R120" i="39"/>
  <c r="AE120" i="39"/>
  <c r="AH120" i="39"/>
  <c r="AF120" i="39"/>
  <c r="AI89" i="39"/>
  <c r="AG90" i="39"/>
  <c r="H90" i="39"/>
  <c r="AD90" i="39"/>
  <c r="AH90" i="39"/>
  <c r="AH93" i="39" s="1"/>
  <c r="R90" i="39"/>
  <c r="R93" i="39" s="1"/>
  <c r="M90" i="39"/>
  <c r="M93" i="39" s="1"/>
  <c r="AE90" i="39"/>
  <c r="AF90" i="39"/>
  <c r="AF93" i="39" s="1"/>
  <c r="AL90" i="39"/>
  <c r="G12" i="41" s="1"/>
  <c r="AI58" i="39"/>
  <c r="AL59" i="39"/>
  <c r="G8" i="41" s="1"/>
  <c r="AG59" i="39"/>
  <c r="H59" i="39"/>
  <c r="AD59" i="39"/>
  <c r="AH59" i="39"/>
  <c r="AH62" i="39" s="1"/>
  <c r="AF59" i="39"/>
  <c r="AE59" i="39"/>
  <c r="M59" i="39"/>
  <c r="M62" i="39" s="1"/>
  <c r="R59" i="39"/>
  <c r="R62" i="39" s="1"/>
  <c r="AR105" i="38"/>
  <c r="U132" i="38"/>
  <c r="AR102" i="38"/>
  <c r="U129" i="38"/>
  <c r="O134" i="38"/>
  <c r="Q134" i="38" s="1"/>
  <c r="AR100" i="38"/>
  <c r="T127" i="38" s="1"/>
  <c r="T139" i="38" s="1"/>
  <c r="R136" i="38"/>
  <c r="O135" i="38"/>
  <c r="AR103" i="38"/>
  <c r="U130" i="38"/>
  <c r="AR104" i="38"/>
  <c r="U131" i="38"/>
  <c r="AR107" i="38"/>
  <c r="AR106" i="38"/>
  <c r="AB93" i="38"/>
  <c r="AB112" i="38" s="1"/>
  <c r="AG93" i="38"/>
  <c r="Z112" i="38"/>
  <c r="R128" i="38"/>
  <c r="S139" i="38"/>
  <c r="L139" i="38"/>
  <c r="J148" i="38"/>
  <c r="E149" i="38" s="1"/>
  <c r="F149" i="38" s="1"/>
  <c r="V148" i="38"/>
  <c r="H121" i="38"/>
  <c r="M121" i="38" s="1"/>
  <c r="F139" i="38"/>
  <c r="W149" i="38"/>
  <c r="V116" i="37"/>
  <c r="Y116" i="37" s="1"/>
  <c r="Q107" i="37"/>
  <c r="J116" i="37"/>
  <c r="E117" i="37" s="1"/>
  <c r="O117" i="37"/>
  <c r="F107" i="37"/>
  <c r="H97" i="37"/>
  <c r="M97" i="37" s="1"/>
  <c r="R107" i="37"/>
  <c r="S133" i="32"/>
  <c r="G110" i="32"/>
  <c r="H91" i="32"/>
  <c r="M91" i="32"/>
  <c r="AI90" i="32"/>
  <c r="AG91" i="32"/>
  <c r="AD91" i="32"/>
  <c r="AE91" i="32"/>
  <c r="AH91" i="32"/>
  <c r="R91" i="32"/>
  <c r="AF91" i="32"/>
  <c r="AH41" i="32"/>
  <c r="AB74" i="32"/>
  <c r="AF65" i="32"/>
  <c r="AE66" i="32"/>
  <c r="X49" i="32"/>
  <c r="AB68" i="32"/>
  <c r="P77" i="32"/>
  <c r="AF67" i="32"/>
  <c r="AF64" i="32"/>
  <c r="AH68" i="32"/>
  <c r="AG68" i="32"/>
  <c r="AD68" i="32"/>
  <c r="R68" i="32"/>
  <c r="AF68" i="32"/>
  <c r="K54" i="32"/>
  <c r="X45" i="32"/>
  <c r="I114" i="32" s="1"/>
  <c r="X40" i="32"/>
  <c r="X48" i="32"/>
  <c r="X41" i="32"/>
  <c r="I110" i="32" s="1"/>
  <c r="X51" i="32"/>
  <c r="X50" i="32"/>
  <c r="X46" i="32"/>
  <c r="I115" i="32" s="1"/>
  <c r="X43" i="32"/>
  <c r="I112" i="32" s="1"/>
  <c r="X47" i="32"/>
  <c r="X42" i="32"/>
  <c r="I111" i="32" s="1"/>
  <c r="X44" i="32"/>
  <c r="I113" i="32" s="1"/>
  <c r="P54" i="32"/>
  <c r="AD41" i="32"/>
  <c r="H41" i="32"/>
  <c r="D42" i="32"/>
  <c r="AG41" i="32"/>
  <c r="R117" i="37" l="1"/>
  <c r="U117" i="37" s="1"/>
  <c r="H149" i="38"/>
  <c r="P117" i="37"/>
  <c r="L118" i="37" s="1"/>
  <c r="N118" i="37" s="1"/>
  <c r="L54" i="32"/>
  <c r="AO48" i="32"/>
  <c r="AO39" i="32"/>
  <c r="AO49" i="32"/>
  <c r="AO46" i="32"/>
  <c r="AO40" i="32"/>
  <c r="J123" i="32"/>
  <c r="AO47" i="32"/>
  <c r="AO45" i="32"/>
  <c r="S146" i="32"/>
  <c r="AO41" i="32"/>
  <c r="Q54" i="32"/>
  <c r="AO43" i="32"/>
  <c r="AO42" i="32"/>
  <c r="AA54" i="32"/>
  <c r="AO44" i="32"/>
  <c r="X146" i="32"/>
  <c r="AL73" i="39"/>
  <c r="AI120" i="39"/>
  <c r="AL75" i="39"/>
  <c r="AG121" i="39"/>
  <c r="AD121" i="39"/>
  <c r="AD124" i="39" s="1"/>
  <c r="M121" i="39"/>
  <c r="M124" i="39" s="1"/>
  <c r="AH121" i="39"/>
  <c r="H121" i="39"/>
  <c r="R121" i="39"/>
  <c r="R124" i="39" s="1"/>
  <c r="AE121" i="39"/>
  <c r="AF121" i="39"/>
  <c r="AL121" i="39"/>
  <c r="AL74" i="39"/>
  <c r="AN87" i="39"/>
  <c r="AK86" i="39"/>
  <c r="AL78" i="39"/>
  <c r="AN82" i="39"/>
  <c r="AK78" i="39"/>
  <c r="AN78" i="39"/>
  <c r="AN75" i="39"/>
  <c r="AK87" i="39"/>
  <c r="AR90" i="39"/>
  <c r="AL71" i="39"/>
  <c r="AN80" i="39"/>
  <c r="AK71" i="39"/>
  <c r="AK74" i="39"/>
  <c r="AK82" i="39"/>
  <c r="AK90" i="39"/>
  <c r="G11" i="41" s="1"/>
  <c r="AN90" i="39"/>
  <c r="G13" i="41" s="1"/>
  <c r="AN83" i="39"/>
  <c r="AN81" i="39"/>
  <c r="AK83" i="39"/>
  <c r="AN85" i="39"/>
  <c r="AK84" i="39"/>
  <c r="AI90" i="39"/>
  <c r="AL81" i="39"/>
  <c r="AL82" i="39"/>
  <c r="AL83" i="39"/>
  <c r="AL76" i="39"/>
  <c r="AN84" i="39"/>
  <c r="AN76" i="39"/>
  <c r="AD93" i="39"/>
  <c r="AN72" i="39"/>
  <c r="AN89" i="39"/>
  <c r="AL89" i="39"/>
  <c r="AL84" i="39"/>
  <c r="AL87" i="39"/>
  <c r="AL79" i="39"/>
  <c r="AN73" i="39"/>
  <c r="AN70" i="39"/>
  <c r="AK79" i="39"/>
  <c r="AK80" i="39"/>
  <c r="AL86" i="39"/>
  <c r="AN88" i="39"/>
  <c r="AL70" i="39"/>
  <c r="AL77" i="39"/>
  <c r="AK88" i="39"/>
  <c r="AK85" i="39"/>
  <c r="AK77" i="39"/>
  <c r="AN79" i="39"/>
  <c r="AL85" i="39"/>
  <c r="AL80" i="39"/>
  <c r="AL72" i="39"/>
  <c r="AN86" i="39"/>
  <c r="AK75" i="39"/>
  <c r="AN71" i="39"/>
  <c r="AK76" i="39"/>
  <c r="AK73" i="39"/>
  <c r="AN77" i="39"/>
  <c r="AL55" i="39"/>
  <c r="AL88" i="39"/>
  <c r="AE93" i="39"/>
  <c r="AN74" i="39"/>
  <c r="AK81" i="39"/>
  <c r="AK72" i="39"/>
  <c r="AK89" i="39"/>
  <c r="AN40" i="39"/>
  <c r="AK44" i="39"/>
  <c r="AN45" i="39"/>
  <c r="AL51" i="39"/>
  <c r="AF62" i="39"/>
  <c r="AE62" i="39"/>
  <c r="AL39" i="39"/>
  <c r="AK54" i="39"/>
  <c r="AK59" i="39"/>
  <c r="G7" i="41" s="1"/>
  <c r="AK51" i="39"/>
  <c r="AN58" i="39"/>
  <c r="AN59" i="39"/>
  <c r="G9" i="41" s="1"/>
  <c r="AK49" i="39"/>
  <c r="AN56" i="39"/>
  <c r="AN53" i="39"/>
  <c r="AN41" i="39"/>
  <c r="AN57" i="39"/>
  <c r="AK40" i="39"/>
  <c r="AN43" i="39"/>
  <c r="AN44" i="39"/>
  <c r="AK56" i="39"/>
  <c r="AN46" i="39"/>
  <c r="AD62" i="39"/>
  <c r="AK42" i="39"/>
  <c r="AN50" i="39"/>
  <c r="AK48" i="39"/>
  <c r="AK55" i="39"/>
  <c r="AN42" i="39"/>
  <c r="AL44" i="39"/>
  <c r="AN51" i="39"/>
  <c r="AK46" i="39"/>
  <c r="AL58" i="39"/>
  <c r="AL47" i="39"/>
  <c r="AL50" i="39"/>
  <c r="AL41" i="39"/>
  <c r="AL49" i="39"/>
  <c r="AK53" i="39"/>
  <c r="AK47" i="39"/>
  <c r="AL42" i="39"/>
  <c r="AN55" i="39"/>
  <c r="AN52" i="39"/>
  <c r="AL40" i="39"/>
  <c r="AL46" i="39"/>
  <c r="AL52" i="39"/>
  <c r="AL56" i="39"/>
  <c r="AK50" i="39"/>
  <c r="AL48" i="39"/>
  <c r="AN54" i="39"/>
  <c r="AN48" i="39"/>
  <c r="AK43" i="39"/>
  <c r="AL54" i="39"/>
  <c r="AL57" i="39"/>
  <c r="AI59" i="39"/>
  <c r="AK57" i="39"/>
  <c r="AN39" i="39"/>
  <c r="AK41" i="39"/>
  <c r="AN49" i="39"/>
  <c r="AL43" i="39"/>
  <c r="AK52" i="39"/>
  <c r="AL53" i="39"/>
  <c r="AL45" i="39"/>
  <c r="AK58" i="39"/>
  <c r="AN47" i="39"/>
  <c r="AK45" i="39"/>
  <c r="R127" i="38"/>
  <c r="O131" i="38"/>
  <c r="Q131" i="38" s="1"/>
  <c r="O130" i="38"/>
  <c r="Q130" i="38" s="1"/>
  <c r="R129" i="38"/>
  <c r="O132" i="38"/>
  <c r="Q132" i="38" s="1"/>
  <c r="Q135" i="38"/>
  <c r="R135" i="38" s="1"/>
  <c r="O133" i="38"/>
  <c r="R134" i="38"/>
  <c r="AI93" i="38"/>
  <c r="AI112" i="38" s="1"/>
  <c r="AG112" i="38"/>
  <c r="AK93" i="38"/>
  <c r="AQ93" i="38" s="1"/>
  <c r="Y148" i="38"/>
  <c r="G149" i="38"/>
  <c r="I149" i="38"/>
  <c r="Y121" i="38"/>
  <c r="X139" i="38"/>
  <c r="E122" i="38"/>
  <c r="H122" i="38" s="1"/>
  <c r="O150" i="38"/>
  <c r="E98" i="37"/>
  <c r="F117" i="37"/>
  <c r="X107" i="37"/>
  <c r="Y97" i="37"/>
  <c r="W117" i="37"/>
  <c r="I109" i="32"/>
  <c r="H92" i="32"/>
  <c r="M92" i="32"/>
  <c r="AI91" i="32"/>
  <c r="AG92" i="32"/>
  <c r="AH92" i="32"/>
  <c r="AE92" i="32"/>
  <c r="AD92" i="32"/>
  <c r="AF92" i="32"/>
  <c r="R92" i="32"/>
  <c r="AB73" i="32"/>
  <c r="AB72" i="32"/>
  <c r="AB66" i="32"/>
  <c r="AF66" i="32"/>
  <c r="AI66" i="32" s="1"/>
  <c r="AB70" i="32"/>
  <c r="AB65" i="32"/>
  <c r="AE65" i="32"/>
  <c r="AB67" i="32"/>
  <c r="AE67" i="32"/>
  <c r="AB64" i="32"/>
  <c r="AE64" i="32"/>
  <c r="Y77" i="32"/>
  <c r="AF63" i="32"/>
  <c r="AE68" i="32"/>
  <c r="AB71" i="32"/>
  <c r="AE63" i="32"/>
  <c r="X77" i="32"/>
  <c r="AB63" i="32"/>
  <c r="AB69" i="32"/>
  <c r="AG69" i="32"/>
  <c r="AD69" i="32"/>
  <c r="AE69" i="32"/>
  <c r="AH69" i="32"/>
  <c r="R69" i="32"/>
  <c r="AF69" i="32"/>
  <c r="D43" i="32"/>
  <c r="AG42" i="32"/>
  <c r="R42" i="32"/>
  <c r="M42" i="32"/>
  <c r="H42" i="32"/>
  <c r="AD42" i="32"/>
  <c r="AH42" i="32"/>
  <c r="R149" i="38" l="1"/>
  <c r="U149" i="38" s="1"/>
  <c r="U152" i="39"/>
  <c r="G20" i="41" s="1"/>
  <c r="G16" i="41"/>
  <c r="I117" i="37"/>
  <c r="O118" i="37"/>
  <c r="W118" i="37" s="1"/>
  <c r="R131" i="38"/>
  <c r="AL107" i="39"/>
  <c r="AR107" i="39" s="1"/>
  <c r="AR78" i="39"/>
  <c r="AL110" i="39"/>
  <c r="U141" i="39" s="1"/>
  <c r="O142" i="39" s="1"/>
  <c r="Q142" i="39" s="1"/>
  <c r="AS81" i="39"/>
  <c r="AQ74" i="39"/>
  <c r="AS74" i="39"/>
  <c r="AQ78" i="39"/>
  <c r="AI121" i="39"/>
  <c r="AR80" i="39"/>
  <c r="AL101" i="39"/>
  <c r="AR101" i="39" s="1"/>
  <c r="AS85" i="39"/>
  <c r="AQ71" i="39"/>
  <c r="AL109" i="39"/>
  <c r="U140" i="39" s="1"/>
  <c r="O141" i="39" s="1"/>
  <c r="Q141" i="39" s="1"/>
  <c r="AL111" i="39"/>
  <c r="U142" i="39" s="1"/>
  <c r="O143" i="39" s="1"/>
  <c r="Q143" i="39" s="1"/>
  <c r="AK118" i="39"/>
  <c r="AQ118" i="39" s="1"/>
  <c r="AR77" i="39"/>
  <c r="S139" i="39" s="1"/>
  <c r="AL104" i="39"/>
  <c r="AR104" i="39" s="1"/>
  <c r="AS73" i="39"/>
  <c r="AE124" i="39"/>
  <c r="AQ88" i="39"/>
  <c r="AQ84" i="39"/>
  <c r="AN108" i="39"/>
  <c r="AS108" i="39" s="1"/>
  <c r="AQ83" i="39"/>
  <c r="AK109" i="39"/>
  <c r="AQ109" i="39" s="1"/>
  <c r="AS87" i="39"/>
  <c r="AK120" i="39"/>
  <c r="AQ120" i="39" s="1"/>
  <c r="AK110" i="39"/>
  <c r="AQ110" i="39" s="1"/>
  <c r="AN118" i="39"/>
  <c r="AS118" i="39" s="1"/>
  <c r="AN105" i="39"/>
  <c r="AS105" i="39" s="1"/>
  <c r="AK115" i="39"/>
  <c r="AQ115" i="39" s="1"/>
  <c r="AN114" i="39"/>
  <c r="AS114" i="39" s="1"/>
  <c r="AK113" i="39"/>
  <c r="AQ113" i="39" s="1"/>
  <c r="AN121" i="39"/>
  <c r="AK121" i="39"/>
  <c r="AN117" i="39"/>
  <c r="AS117" i="39" s="1"/>
  <c r="AN116" i="39"/>
  <c r="AS116" i="39" s="1"/>
  <c r="AN110" i="39"/>
  <c r="AS110" i="39" s="1"/>
  <c r="AK102" i="39"/>
  <c r="AQ102" i="39" s="1"/>
  <c r="AN111" i="39"/>
  <c r="AS111" i="39" s="1"/>
  <c r="AK108" i="39"/>
  <c r="AQ108" i="39" s="1"/>
  <c r="L139" i="39" s="1"/>
  <c r="AH124" i="39"/>
  <c r="Z124" i="39"/>
  <c r="AG101" i="39"/>
  <c r="AB101" i="39"/>
  <c r="AB124" i="39" s="1"/>
  <c r="AS76" i="39"/>
  <c r="M170" i="39" s="1"/>
  <c r="AL119" i="39"/>
  <c r="U150" i="39" s="1"/>
  <c r="AR121" i="39"/>
  <c r="AN104" i="39"/>
  <c r="AS104" i="39" s="1"/>
  <c r="AK116" i="39"/>
  <c r="AQ116" i="39" s="1"/>
  <c r="AN119" i="39"/>
  <c r="AS119" i="39" s="1"/>
  <c r="AK103" i="39"/>
  <c r="AQ103" i="39" s="1"/>
  <c r="AL106" i="39"/>
  <c r="AR106" i="39" s="1"/>
  <c r="T137" i="39" s="1"/>
  <c r="AL114" i="39"/>
  <c r="AL113" i="39"/>
  <c r="U144" i="39" s="1"/>
  <c r="O145" i="39" s="1"/>
  <c r="Q145" i="39" s="1"/>
  <c r="AL112" i="39"/>
  <c r="U143" i="39" s="1"/>
  <c r="O144" i="39" s="1"/>
  <c r="Q144" i="39" s="1"/>
  <c r="AL115" i="39"/>
  <c r="AF124" i="39"/>
  <c r="AK104" i="39"/>
  <c r="AQ104" i="39" s="1"/>
  <c r="AK111" i="39"/>
  <c r="AQ111" i="39" s="1"/>
  <c r="AK107" i="39"/>
  <c r="AQ107" i="39" s="1"/>
  <c r="AN109" i="39"/>
  <c r="AS109" i="39" s="1"/>
  <c r="AL120" i="39"/>
  <c r="U151" i="39" s="1"/>
  <c r="AL102" i="39"/>
  <c r="AR102" i="39" s="1"/>
  <c r="AL116" i="39"/>
  <c r="AL108" i="39"/>
  <c r="U139" i="39" s="1"/>
  <c r="O140" i="39" s="1"/>
  <c r="Q140" i="39" s="1"/>
  <c r="AL117" i="39"/>
  <c r="AK114" i="39"/>
  <c r="AQ114" i="39" s="1"/>
  <c r="AN102" i="39"/>
  <c r="AS102" i="39" s="1"/>
  <c r="AN103" i="39"/>
  <c r="AS103" i="39" s="1"/>
  <c r="AK119" i="39"/>
  <c r="AQ119" i="39" s="1"/>
  <c r="AR86" i="39"/>
  <c r="AK117" i="39"/>
  <c r="AQ117" i="39" s="1"/>
  <c r="AL105" i="39"/>
  <c r="AR105" i="39" s="1"/>
  <c r="AN112" i="39"/>
  <c r="AS112" i="39" s="1"/>
  <c r="AK105" i="39"/>
  <c r="AQ105" i="39" s="1"/>
  <c r="AN106" i="39"/>
  <c r="AS106" i="39" s="1"/>
  <c r="AN113" i="39"/>
  <c r="AS113" i="39" s="1"/>
  <c r="AN107" i="39"/>
  <c r="AS107" i="39" s="1"/>
  <c r="AL118" i="39"/>
  <c r="U149" i="39" s="1"/>
  <c r="O150" i="39" s="1"/>
  <c r="Q150" i="39" s="1"/>
  <c r="AK112" i="39"/>
  <c r="AQ112" i="39" s="1"/>
  <c r="AL103" i="39"/>
  <c r="AR103" i="39" s="1"/>
  <c r="AN115" i="39"/>
  <c r="AS115" i="39" s="1"/>
  <c r="AN101" i="39"/>
  <c r="AS101" i="39" s="1"/>
  <c r="AN120" i="39"/>
  <c r="AS120" i="39" s="1"/>
  <c r="AK106" i="39"/>
  <c r="AQ106" i="39" s="1"/>
  <c r="L137" i="39" s="1"/>
  <c r="AS78" i="39"/>
  <c r="AS70" i="39"/>
  <c r="AQ81" i="39"/>
  <c r="AS83" i="39"/>
  <c r="AQ79" i="39"/>
  <c r="AQ82" i="39"/>
  <c r="AS84" i="39"/>
  <c r="AQ85" i="39"/>
  <c r="AS71" i="39"/>
  <c r="AS82" i="39"/>
  <c r="AS77" i="39"/>
  <c r="AQ86" i="39"/>
  <c r="AQ72" i="39"/>
  <c r="AS88" i="39"/>
  <c r="AQ87" i="39"/>
  <c r="AQ80" i="39"/>
  <c r="AQ76" i="39"/>
  <c r="AS75" i="39"/>
  <c r="AS90" i="39"/>
  <c r="AB70" i="39"/>
  <c r="AB93" i="39" s="1"/>
  <c r="Z93" i="39"/>
  <c r="AG70" i="39"/>
  <c r="AS80" i="39"/>
  <c r="AS79" i="39"/>
  <c r="AR81" i="39"/>
  <c r="AS89" i="39"/>
  <c r="AR82" i="39"/>
  <c r="AQ89" i="39"/>
  <c r="AR79" i="39"/>
  <c r="AS86" i="39"/>
  <c r="AQ90" i="39"/>
  <c r="AR88" i="39"/>
  <c r="AR87" i="39"/>
  <c r="AQ77" i="39"/>
  <c r="K139" i="39" s="1"/>
  <c r="AQ73" i="39"/>
  <c r="AS72" i="39"/>
  <c r="AQ75" i="39"/>
  <c r="K137" i="39" s="1"/>
  <c r="AR84" i="39"/>
  <c r="AR83" i="39"/>
  <c r="AR85" i="39"/>
  <c r="AR89" i="39"/>
  <c r="U135" i="39"/>
  <c r="O136" i="39" s="1"/>
  <c r="Q136" i="39" s="1"/>
  <c r="AR73" i="39"/>
  <c r="L164" i="39"/>
  <c r="N164" i="39" s="1"/>
  <c r="AR70" i="39"/>
  <c r="P133" i="39"/>
  <c r="U137" i="39"/>
  <c r="AR75" i="39"/>
  <c r="S137" i="39" s="1"/>
  <c r="U136" i="39"/>
  <c r="AR74" i="39"/>
  <c r="U133" i="39"/>
  <c r="O134" i="39" s="1"/>
  <c r="Q134" i="39" s="1"/>
  <c r="AR71" i="39"/>
  <c r="U134" i="39"/>
  <c r="AR72" i="39"/>
  <c r="U138" i="39"/>
  <c r="AR76" i="39"/>
  <c r="R130" i="38"/>
  <c r="R132" i="38"/>
  <c r="Q133" i="38"/>
  <c r="R133" i="38" s="1"/>
  <c r="J149" i="38"/>
  <c r="E150" i="38" s="1"/>
  <c r="F150" i="38" s="1"/>
  <c r="V149" i="38"/>
  <c r="M122" i="38"/>
  <c r="E123" i="38" s="1"/>
  <c r="AB121" i="38"/>
  <c r="AC121" i="38" s="1"/>
  <c r="W150" i="38"/>
  <c r="P150" i="38"/>
  <c r="L151" i="38" s="1"/>
  <c r="G117" i="37"/>
  <c r="H117" i="37"/>
  <c r="AB97" i="37"/>
  <c r="H98" i="37"/>
  <c r="M98" i="37" s="1"/>
  <c r="I123" i="32"/>
  <c r="H93" i="32"/>
  <c r="M93" i="32"/>
  <c r="AI68" i="32"/>
  <c r="AI67" i="32"/>
  <c r="AG93" i="32"/>
  <c r="AE93" i="32"/>
  <c r="AD93" i="32"/>
  <c r="AH93" i="32"/>
  <c r="R93" i="32"/>
  <c r="AF93" i="32"/>
  <c r="AI92" i="32"/>
  <c r="AI64" i="32"/>
  <c r="AI65" i="32"/>
  <c r="AI69" i="32"/>
  <c r="AI63" i="32"/>
  <c r="AH70" i="32"/>
  <c r="AG70" i="32"/>
  <c r="AE70" i="32"/>
  <c r="AD70" i="32"/>
  <c r="AF70" i="32"/>
  <c r="R70" i="32"/>
  <c r="AH43" i="32"/>
  <c r="AD43" i="32"/>
  <c r="H43" i="32"/>
  <c r="D44" i="32"/>
  <c r="AG43" i="32"/>
  <c r="R43" i="32"/>
  <c r="M43" i="32"/>
  <c r="AA139" i="39" l="1"/>
  <c r="G150" i="38"/>
  <c r="AQ121" i="39"/>
  <c r="G15" i="41"/>
  <c r="AS121" i="39"/>
  <c r="G17" i="41"/>
  <c r="M186" i="39"/>
  <c r="P118" i="37"/>
  <c r="L119" i="37" s="1"/>
  <c r="N119" i="37" s="1"/>
  <c r="O119" i="37" s="1"/>
  <c r="W119" i="37" s="1"/>
  <c r="AR110" i="39"/>
  <c r="S155" i="39"/>
  <c r="K155" i="39"/>
  <c r="R143" i="39"/>
  <c r="AR112" i="39"/>
  <c r="R140" i="39"/>
  <c r="R142" i="39"/>
  <c r="R141" i="39"/>
  <c r="AR109" i="39"/>
  <c r="O151" i="39"/>
  <c r="Q151" i="39" s="1"/>
  <c r="R150" i="39"/>
  <c r="O152" i="39"/>
  <c r="AR114" i="39"/>
  <c r="U145" i="39"/>
  <c r="AR117" i="39"/>
  <c r="U148" i="39"/>
  <c r="O149" i="39" s="1"/>
  <c r="Q149" i="39" s="1"/>
  <c r="R149" i="39" s="1"/>
  <c r="R144" i="39"/>
  <c r="AR116" i="39"/>
  <c r="U147" i="39"/>
  <c r="O148" i="39" s="1"/>
  <c r="Q148" i="39" s="1"/>
  <c r="AR115" i="39"/>
  <c r="U146" i="39"/>
  <c r="AR111" i="39"/>
  <c r="AR113" i="39"/>
  <c r="L155" i="39"/>
  <c r="AR120" i="39"/>
  <c r="AR108" i="39"/>
  <c r="T139" i="39" s="1"/>
  <c r="T155" i="39" s="1"/>
  <c r="AR118" i="39"/>
  <c r="AR119" i="39"/>
  <c r="AK101" i="39"/>
  <c r="AI101" i="39"/>
  <c r="AI124" i="39" s="1"/>
  <c r="AG124" i="39"/>
  <c r="O164" i="39"/>
  <c r="AG93" i="39"/>
  <c r="AI70" i="39"/>
  <c r="AI93" i="39" s="1"/>
  <c r="AK70" i="39"/>
  <c r="O138" i="39"/>
  <c r="Q138" i="39" s="1"/>
  <c r="O135" i="39"/>
  <c r="Q135" i="39" s="1"/>
  <c r="R135" i="39" s="1"/>
  <c r="R134" i="39"/>
  <c r="Q133" i="39"/>
  <c r="R133" i="39" s="1"/>
  <c r="P155" i="39"/>
  <c r="Z62" i="39"/>
  <c r="AG39" i="39"/>
  <c r="E164" i="39"/>
  <c r="AB39" i="39"/>
  <c r="AB62" i="39" s="1"/>
  <c r="G133" i="39"/>
  <c r="G155" i="39" s="1"/>
  <c r="O137" i="39"/>
  <c r="Q137" i="39" s="1"/>
  <c r="R136" i="39"/>
  <c r="O139" i="39"/>
  <c r="Q139" i="38"/>
  <c r="R139" i="38"/>
  <c r="Y149" i="38"/>
  <c r="I150" i="38"/>
  <c r="H150" i="38"/>
  <c r="W122" i="38"/>
  <c r="Y122" i="38" s="1"/>
  <c r="AA148" i="38"/>
  <c r="N151" i="38"/>
  <c r="O151" i="38" s="1"/>
  <c r="H123" i="38"/>
  <c r="M123" i="38" s="1"/>
  <c r="V117" i="37"/>
  <c r="J117" i="37"/>
  <c r="E118" i="37" s="1"/>
  <c r="E99" i="37"/>
  <c r="AC97" i="37"/>
  <c r="H94" i="32"/>
  <c r="M94" i="32"/>
  <c r="AH94" i="32"/>
  <c r="AG94" i="32"/>
  <c r="AD94" i="32"/>
  <c r="AF94" i="32"/>
  <c r="AE94" i="32"/>
  <c r="R94" i="32"/>
  <c r="AI93" i="32"/>
  <c r="AI70" i="32"/>
  <c r="AH71" i="32"/>
  <c r="AG71" i="32"/>
  <c r="AE71" i="32"/>
  <c r="AD71" i="32"/>
  <c r="R71" i="32"/>
  <c r="AF71" i="32"/>
  <c r="D45" i="32"/>
  <c r="AG44" i="32"/>
  <c r="AD44" i="32"/>
  <c r="AH44" i="32"/>
  <c r="R44" i="32"/>
  <c r="H44" i="32"/>
  <c r="M44" i="32"/>
  <c r="AC148" i="38" l="1"/>
  <c r="AD148" i="38" s="1"/>
  <c r="R150" i="38"/>
  <c r="U150" i="38" s="1"/>
  <c r="P119" i="37"/>
  <c r="L120" i="37" s="1"/>
  <c r="N120" i="37" s="1"/>
  <c r="R151" i="39"/>
  <c r="R148" i="39"/>
  <c r="Q152" i="39"/>
  <c r="R152" i="39" s="1"/>
  <c r="O146" i="39"/>
  <c r="Q146" i="39" s="1"/>
  <c r="R145" i="39"/>
  <c r="O147" i="39"/>
  <c r="Q147" i="39" s="1"/>
  <c r="R147" i="39" s="1"/>
  <c r="AQ101" i="39"/>
  <c r="P164" i="39"/>
  <c r="L165" i="39" s="1"/>
  <c r="N165" i="39" s="1"/>
  <c r="W164" i="39"/>
  <c r="R138" i="39"/>
  <c r="R137" i="39"/>
  <c r="F164" i="39"/>
  <c r="G164" i="39" s="1"/>
  <c r="AG62" i="39"/>
  <c r="AK39" i="39"/>
  <c r="AI39" i="39"/>
  <c r="AI62" i="39" s="1"/>
  <c r="Q139" i="39"/>
  <c r="R139" i="39" s="1"/>
  <c r="J150" i="38"/>
  <c r="E151" i="38" s="1"/>
  <c r="F151" i="38" s="1"/>
  <c r="V150" i="38"/>
  <c r="AB122" i="38"/>
  <c r="AC122" i="38" s="1"/>
  <c r="AA149" i="38" s="1"/>
  <c r="AC149" i="38" s="1"/>
  <c r="W151" i="38"/>
  <c r="P151" i="38"/>
  <c r="L152" i="38" s="1"/>
  <c r="E124" i="38"/>
  <c r="F118" i="37"/>
  <c r="Y117" i="37"/>
  <c r="H99" i="37"/>
  <c r="W98" i="37"/>
  <c r="AA116" i="37"/>
  <c r="AC116" i="37" s="1"/>
  <c r="H95" i="32"/>
  <c r="M95" i="32"/>
  <c r="AH95" i="32"/>
  <c r="AG95" i="32"/>
  <c r="AD95" i="32"/>
  <c r="AE95" i="32"/>
  <c r="AF95" i="32"/>
  <c r="R95" i="32"/>
  <c r="AI94" i="32"/>
  <c r="AI71" i="32"/>
  <c r="AH72" i="32"/>
  <c r="AG72" i="32"/>
  <c r="AD72" i="32"/>
  <c r="AE72" i="32"/>
  <c r="AF72" i="32"/>
  <c r="R72" i="32"/>
  <c r="D46" i="32"/>
  <c r="AG45" i="32"/>
  <c r="AD45" i="32"/>
  <c r="H45" i="32"/>
  <c r="R45" i="32"/>
  <c r="M45" i="32"/>
  <c r="AH45" i="32"/>
  <c r="O120" i="37" l="1"/>
  <c r="O165" i="39"/>
  <c r="W165" i="39" s="1"/>
  <c r="R146" i="39"/>
  <c r="Q155" i="39"/>
  <c r="I164" i="39"/>
  <c r="AQ70" i="39"/>
  <c r="F133" i="39"/>
  <c r="X133" i="39" s="1"/>
  <c r="H164" i="39"/>
  <c r="T186" i="39"/>
  <c r="U164" i="39"/>
  <c r="G151" i="38"/>
  <c r="H151" i="38"/>
  <c r="I151" i="38"/>
  <c r="AD149" i="38"/>
  <c r="Y150" i="38"/>
  <c r="W123" i="38"/>
  <c r="Y123" i="38" s="1"/>
  <c r="N152" i="38"/>
  <c r="O152" i="38" s="1"/>
  <c r="H124" i="38"/>
  <c r="M124" i="38" s="1"/>
  <c r="R118" i="37"/>
  <c r="G118" i="37"/>
  <c r="H118" i="37"/>
  <c r="I118" i="37"/>
  <c r="M99" i="37"/>
  <c r="AD116" i="37"/>
  <c r="Y98" i="37"/>
  <c r="H96" i="32"/>
  <c r="M96" i="32"/>
  <c r="AI95" i="32"/>
  <c r="AH96" i="32"/>
  <c r="AG96" i="32"/>
  <c r="AF96" i="32"/>
  <c r="AD96" i="32"/>
  <c r="AE96" i="32"/>
  <c r="R96" i="32"/>
  <c r="AI72" i="32"/>
  <c r="AH73" i="32"/>
  <c r="AG73" i="32"/>
  <c r="AF73" i="32"/>
  <c r="AE73" i="32"/>
  <c r="AD73" i="32"/>
  <c r="R73" i="32"/>
  <c r="AH46" i="32"/>
  <c r="D47" i="32"/>
  <c r="AG46" i="32"/>
  <c r="AD46" i="32"/>
  <c r="H46" i="32"/>
  <c r="M46" i="32"/>
  <c r="R46" i="32"/>
  <c r="P120" i="37" l="1"/>
  <c r="L121" i="37" s="1"/>
  <c r="N121" i="37" s="1"/>
  <c r="W120" i="37"/>
  <c r="P165" i="39"/>
  <c r="L166" i="39" s="1"/>
  <c r="N166" i="39" s="1"/>
  <c r="R155" i="39"/>
  <c r="V164" i="39"/>
  <c r="J164" i="39"/>
  <c r="E165" i="39" s="1"/>
  <c r="F165" i="39" s="1"/>
  <c r="H133" i="39"/>
  <c r="M133" i="39" s="1"/>
  <c r="F155" i="39"/>
  <c r="J151" i="38"/>
  <c r="E152" i="38" s="1"/>
  <c r="F152" i="38" s="1"/>
  <c r="R151" i="38"/>
  <c r="U151" i="38" s="1"/>
  <c r="V151" i="38"/>
  <c r="P152" i="38"/>
  <c r="L153" i="38" s="1"/>
  <c r="E125" i="38"/>
  <c r="W152" i="38"/>
  <c r="AB123" i="38"/>
  <c r="AC123" i="38" s="1"/>
  <c r="J118" i="37"/>
  <c r="E119" i="37" s="1"/>
  <c r="F119" i="37" s="1"/>
  <c r="V118" i="37"/>
  <c r="U118" i="37"/>
  <c r="AB98" i="37"/>
  <c r="E100" i="37"/>
  <c r="AL97" i="32"/>
  <c r="H97" i="32"/>
  <c r="M97" i="32"/>
  <c r="M100" i="32" s="1"/>
  <c r="AH97" i="32"/>
  <c r="AG97" i="32"/>
  <c r="AF97" i="32"/>
  <c r="AD97" i="32"/>
  <c r="AE97" i="32"/>
  <c r="R97" i="32"/>
  <c r="R100" i="32" s="1"/>
  <c r="AI96" i="32"/>
  <c r="AI73" i="32"/>
  <c r="AH74" i="32"/>
  <c r="AG74" i="32"/>
  <c r="AE74" i="32"/>
  <c r="AF74" i="32"/>
  <c r="AD74" i="32"/>
  <c r="R74" i="32"/>
  <c r="R77" i="32" s="1"/>
  <c r="D48" i="32"/>
  <c r="AG47" i="32"/>
  <c r="AD47" i="32"/>
  <c r="H47" i="32"/>
  <c r="AH47" i="32"/>
  <c r="R47" i="32"/>
  <c r="M47" i="32"/>
  <c r="I165" i="39" l="1"/>
  <c r="AR97" i="32"/>
  <c r="E16" i="41"/>
  <c r="I119" i="37"/>
  <c r="O121" i="37"/>
  <c r="P121" i="37" s="1"/>
  <c r="O166" i="39"/>
  <c r="U120" i="32"/>
  <c r="E20" i="41" s="1"/>
  <c r="AN67" i="32"/>
  <c r="AN94" i="32"/>
  <c r="Y164" i="39"/>
  <c r="G165" i="39"/>
  <c r="H165" i="39"/>
  <c r="Y133" i="39"/>
  <c r="X155" i="39"/>
  <c r="E134" i="39"/>
  <c r="Y151" i="38"/>
  <c r="I152" i="38"/>
  <c r="G152" i="38"/>
  <c r="H152" i="38"/>
  <c r="N153" i="38"/>
  <c r="O153" i="38" s="1"/>
  <c r="W124" i="38"/>
  <c r="AA150" i="38"/>
  <c r="AC150" i="38" s="1"/>
  <c r="H125" i="38"/>
  <c r="M125" i="38" s="1"/>
  <c r="Y118" i="37"/>
  <c r="H119" i="37"/>
  <c r="G119" i="37"/>
  <c r="H100" i="37"/>
  <c r="M100" i="37" s="1"/>
  <c r="AC98" i="37"/>
  <c r="AN95" i="32"/>
  <c r="AN93" i="32"/>
  <c r="AN97" i="32"/>
  <c r="E17" i="41" s="1"/>
  <c r="AN87" i="32"/>
  <c r="AN86" i="32"/>
  <c r="AN88" i="32"/>
  <c r="AN91" i="32"/>
  <c r="AN89" i="32"/>
  <c r="AN90" i="32"/>
  <c r="AN92" i="32"/>
  <c r="AN96" i="32"/>
  <c r="AH100" i="32"/>
  <c r="AN85" i="32"/>
  <c r="AN72" i="32"/>
  <c r="AN74" i="32"/>
  <c r="E13" i="41" s="1"/>
  <c r="AN63" i="32"/>
  <c r="AN65" i="32"/>
  <c r="AN64" i="32"/>
  <c r="AN66" i="32"/>
  <c r="AN68" i="32"/>
  <c r="AN71" i="32"/>
  <c r="AN69" i="32"/>
  <c r="AN70" i="32"/>
  <c r="AN73" i="32"/>
  <c r="AH77" i="32"/>
  <c r="AN62" i="32"/>
  <c r="AL73" i="32"/>
  <c r="AL94" i="32"/>
  <c r="U117" i="32" s="1"/>
  <c r="AL62" i="32"/>
  <c r="AL92" i="32"/>
  <c r="U115" i="32" s="1"/>
  <c r="AL71" i="32"/>
  <c r="AL93" i="32"/>
  <c r="U116" i="32" s="1"/>
  <c r="AL69" i="32"/>
  <c r="AL70" i="32"/>
  <c r="AL72" i="32"/>
  <c r="AL86" i="32"/>
  <c r="AL87" i="32"/>
  <c r="AL85" i="32"/>
  <c r="AL88" i="32"/>
  <c r="AL89" i="32"/>
  <c r="AL90" i="32"/>
  <c r="AL91" i="32"/>
  <c r="AL96" i="32"/>
  <c r="U119" i="32" s="1"/>
  <c r="AL66" i="32"/>
  <c r="AL68" i="32"/>
  <c r="AL67" i="32"/>
  <c r="AL65" i="32"/>
  <c r="AL63" i="32"/>
  <c r="AL64" i="32"/>
  <c r="AL95" i="32"/>
  <c r="U118" i="32" s="1"/>
  <c r="AK92" i="32"/>
  <c r="AK69" i="32"/>
  <c r="AK97" i="32"/>
  <c r="E15" i="41" s="1"/>
  <c r="AK91" i="32"/>
  <c r="AK93" i="32"/>
  <c r="AK94" i="32"/>
  <c r="AK63" i="32"/>
  <c r="AK74" i="32"/>
  <c r="E11" i="41" s="1"/>
  <c r="AK67" i="32"/>
  <c r="AK66" i="32"/>
  <c r="AK65" i="32"/>
  <c r="AK64" i="32"/>
  <c r="AK95" i="32"/>
  <c r="AK68" i="32"/>
  <c r="AK71" i="32"/>
  <c r="AK72" i="32"/>
  <c r="AK73" i="32"/>
  <c r="AK96" i="32"/>
  <c r="AK70" i="32"/>
  <c r="AK87" i="32"/>
  <c r="AK86" i="32"/>
  <c r="AK89" i="32"/>
  <c r="AK88" i="32"/>
  <c r="AK90" i="32"/>
  <c r="AE100" i="32"/>
  <c r="AI97" i="32"/>
  <c r="AD100" i="32"/>
  <c r="AF100" i="32"/>
  <c r="AE77" i="32"/>
  <c r="AF77" i="32"/>
  <c r="AI74" i="32"/>
  <c r="AD77" i="32"/>
  <c r="D49" i="32"/>
  <c r="AG48" i="32"/>
  <c r="H48" i="32"/>
  <c r="AD48" i="32"/>
  <c r="AH48" i="32"/>
  <c r="M48" i="32"/>
  <c r="R48" i="32"/>
  <c r="R165" i="39" l="1"/>
  <c r="U165" i="39" s="1"/>
  <c r="W121" i="37"/>
  <c r="W166" i="39"/>
  <c r="P166" i="39"/>
  <c r="L167" i="39" s="1"/>
  <c r="N167" i="39" s="1"/>
  <c r="L122" i="37"/>
  <c r="N122" i="37" s="1"/>
  <c r="O122" i="37" s="1"/>
  <c r="J165" i="39"/>
  <c r="E166" i="39" s="1"/>
  <c r="F166" i="39" s="1"/>
  <c r="V165" i="39"/>
  <c r="H134" i="39"/>
  <c r="M134" i="39" s="1"/>
  <c r="AB133" i="39"/>
  <c r="AC133" i="39" s="1"/>
  <c r="R152" i="38"/>
  <c r="U152" i="38" s="1"/>
  <c r="V152" i="38"/>
  <c r="J152" i="38"/>
  <c r="E153" i="38" s="1"/>
  <c r="F153" i="38" s="1"/>
  <c r="G153" i="38" s="1"/>
  <c r="W153" i="38"/>
  <c r="P153" i="38"/>
  <c r="L154" i="38" s="1"/>
  <c r="N154" i="38" s="1"/>
  <c r="O154" i="38" s="1"/>
  <c r="E126" i="38"/>
  <c r="AD150" i="38"/>
  <c r="Y124" i="38"/>
  <c r="AB124" i="38" s="1"/>
  <c r="R119" i="37"/>
  <c r="U119" i="37" s="1"/>
  <c r="J119" i="37"/>
  <c r="E120" i="37" s="1"/>
  <c r="V119" i="37"/>
  <c r="E101" i="37"/>
  <c r="W99" i="37"/>
  <c r="AA117" i="37"/>
  <c r="AC117" i="37" s="1"/>
  <c r="AS92" i="32"/>
  <c r="AS95" i="32"/>
  <c r="AS93" i="32"/>
  <c r="AS90" i="32"/>
  <c r="AS91" i="32"/>
  <c r="AS88" i="32"/>
  <c r="AS86" i="32"/>
  <c r="AS89" i="32"/>
  <c r="AS96" i="32"/>
  <c r="AS85" i="32"/>
  <c r="AS94" i="32"/>
  <c r="AS87" i="32"/>
  <c r="AS97" i="32"/>
  <c r="AQ92" i="32"/>
  <c r="L115" i="32" s="1"/>
  <c r="O116" i="32"/>
  <c r="Q116" i="32" s="1"/>
  <c r="O119" i="32"/>
  <c r="Q119" i="32" s="1"/>
  <c r="AQ97" i="32"/>
  <c r="O118" i="32"/>
  <c r="Q118" i="32" s="1"/>
  <c r="O117" i="32"/>
  <c r="Q117" i="32" s="1"/>
  <c r="O120" i="32"/>
  <c r="AR87" i="32"/>
  <c r="AR88" i="32"/>
  <c r="AQ86" i="32"/>
  <c r="AQ90" i="32"/>
  <c r="L113" i="32" s="1"/>
  <c r="AQ87" i="32"/>
  <c r="L110" i="32" s="1"/>
  <c r="AQ89" i="32"/>
  <c r="AR89" i="32"/>
  <c r="AQ94" i="32"/>
  <c r="AQ93" i="32"/>
  <c r="AR85" i="32"/>
  <c r="AQ88" i="32"/>
  <c r="AR91" i="32"/>
  <c r="AR90" i="32"/>
  <c r="T113" i="32" s="1"/>
  <c r="AR94" i="32"/>
  <c r="AR93" i="32"/>
  <c r="AR86" i="32"/>
  <c r="AR92" i="32"/>
  <c r="T115" i="32" s="1"/>
  <c r="AQ91" i="32"/>
  <c r="AD49" i="32"/>
  <c r="H49" i="32"/>
  <c r="D50" i="32"/>
  <c r="AG49" i="32"/>
  <c r="R49" i="32"/>
  <c r="M49" i="32"/>
  <c r="AH49" i="32"/>
  <c r="I166" i="39" l="1"/>
  <c r="O167" i="39"/>
  <c r="G166" i="39"/>
  <c r="H166" i="39"/>
  <c r="Y165" i="39"/>
  <c r="E135" i="39"/>
  <c r="H135" i="39" s="1"/>
  <c r="M135" i="39" s="1"/>
  <c r="W134" i="39"/>
  <c r="Y134" i="39" s="1"/>
  <c r="AB134" i="39" s="1"/>
  <c r="AC134" i="39" s="1"/>
  <c r="AA164" i="39"/>
  <c r="Y152" i="38"/>
  <c r="AC124" i="38"/>
  <c r="W125" i="38" s="1"/>
  <c r="H153" i="38"/>
  <c r="I153" i="38"/>
  <c r="H126" i="38"/>
  <c r="M126" i="38" s="1"/>
  <c r="W154" i="38"/>
  <c r="P154" i="38"/>
  <c r="L155" i="38" s="1"/>
  <c r="Y119" i="37"/>
  <c r="F120" i="37"/>
  <c r="H120" i="37" s="1"/>
  <c r="W122" i="37"/>
  <c r="Y99" i="37"/>
  <c r="P122" i="37"/>
  <c r="L123" i="37" s="1"/>
  <c r="AD117" i="37"/>
  <c r="H101" i="37"/>
  <c r="M101" i="37" s="1"/>
  <c r="T123" i="32"/>
  <c r="L123" i="32"/>
  <c r="R117" i="32"/>
  <c r="R118" i="32"/>
  <c r="Q120" i="32"/>
  <c r="R120" i="32" s="1"/>
  <c r="R119" i="32"/>
  <c r="R116" i="32"/>
  <c r="AR95" i="32"/>
  <c r="AQ95" i="32"/>
  <c r="AH50" i="32"/>
  <c r="D51" i="32"/>
  <c r="AG50" i="32"/>
  <c r="R50" i="32"/>
  <c r="H50" i="32"/>
  <c r="AD50" i="32"/>
  <c r="M50" i="32"/>
  <c r="AC164" i="39" l="1"/>
  <c r="AD164" i="39" s="1"/>
  <c r="R166" i="39"/>
  <c r="U166" i="39" s="1"/>
  <c r="W167" i="39"/>
  <c r="P167" i="39"/>
  <c r="L168" i="39" s="1"/>
  <c r="N168" i="39" s="1"/>
  <c r="O168" i="39" s="1"/>
  <c r="P168" i="39" s="1"/>
  <c r="L169" i="39" s="1"/>
  <c r="V166" i="39"/>
  <c r="J166" i="39"/>
  <c r="E167" i="39" s="1"/>
  <c r="F167" i="39" s="1"/>
  <c r="E136" i="39"/>
  <c r="H136" i="39" s="1"/>
  <c r="M136" i="39" s="1"/>
  <c r="W135" i="39"/>
  <c r="AA165" i="39"/>
  <c r="AC165" i="39" s="1"/>
  <c r="R153" i="38"/>
  <c r="U153" i="38" s="1"/>
  <c r="AA151" i="38"/>
  <c r="V153" i="38"/>
  <c r="J153" i="38"/>
  <c r="E154" i="38" s="1"/>
  <c r="F154" i="38" s="1"/>
  <c r="I154" i="38" s="1"/>
  <c r="E127" i="38"/>
  <c r="N155" i="38"/>
  <c r="O155" i="38" s="1"/>
  <c r="Y125" i="38"/>
  <c r="AB125" i="38" s="1"/>
  <c r="R120" i="37"/>
  <c r="U120" i="37" s="1"/>
  <c r="G120" i="37"/>
  <c r="I120" i="37"/>
  <c r="E102" i="37"/>
  <c r="AB99" i="37"/>
  <c r="AC99" i="37" s="1"/>
  <c r="N123" i="37"/>
  <c r="AQ96" i="32"/>
  <c r="AR96" i="32"/>
  <c r="AD51" i="32"/>
  <c r="H51" i="32"/>
  <c r="AG51" i="32"/>
  <c r="AH51" i="32"/>
  <c r="M51" i="32"/>
  <c r="R51" i="32"/>
  <c r="AC151" i="38" l="1"/>
  <c r="AD151" i="38" s="1"/>
  <c r="G167" i="39"/>
  <c r="W168" i="39"/>
  <c r="O123" i="37"/>
  <c r="O126" i="37" s="1"/>
  <c r="N126" i="37"/>
  <c r="AN48" i="32"/>
  <c r="AS71" i="32" s="1"/>
  <c r="Y166" i="39"/>
  <c r="I167" i="39"/>
  <c r="H167" i="39"/>
  <c r="AD165" i="39"/>
  <c r="E137" i="39"/>
  <c r="H137" i="39" s="1"/>
  <c r="M137" i="39" s="1"/>
  <c r="Y135" i="39"/>
  <c r="AB135" i="39" s="1"/>
  <c r="AC135" i="39" s="1"/>
  <c r="N169" i="39"/>
  <c r="O169" i="39" s="1"/>
  <c r="Y153" i="38"/>
  <c r="W155" i="38"/>
  <c r="H127" i="38"/>
  <c r="M127" i="38" s="1"/>
  <c r="P155" i="38"/>
  <c r="L156" i="38" s="1"/>
  <c r="G154" i="38"/>
  <c r="AC125" i="38"/>
  <c r="H154" i="38"/>
  <c r="V120" i="37"/>
  <c r="J120" i="37"/>
  <c r="E121" i="37" s="1"/>
  <c r="W100" i="37"/>
  <c r="AA118" i="37"/>
  <c r="AC118" i="37" s="1"/>
  <c r="H102" i="37"/>
  <c r="M102" i="37" s="1"/>
  <c r="AN45" i="32"/>
  <c r="AS68" i="32" s="1"/>
  <c r="M138" i="32" s="1"/>
  <c r="AN51" i="32"/>
  <c r="AN40" i="32"/>
  <c r="AS63" i="32" s="1"/>
  <c r="AN41" i="32"/>
  <c r="AS64" i="32" s="1"/>
  <c r="AN42" i="32"/>
  <c r="AS65" i="32" s="1"/>
  <c r="AN44" i="32"/>
  <c r="AS67" i="32" s="1"/>
  <c r="AN43" i="32"/>
  <c r="AS66" i="32" s="1"/>
  <c r="AN46" i="32"/>
  <c r="AS69" i="32" s="1"/>
  <c r="AN47" i="32"/>
  <c r="AS70" i="32" s="1"/>
  <c r="AN50" i="32"/>
  <c r="AS73" i="32" s="1"/>
  <c r="AN49" i="32"/>
  <c r="AS72" i="32" s="1"/>
  <c r="AN39" i="32"/>
  <c r="AS62" i="32" s="1"/>
  <c r="AK51" i="32"/>
  <c r="R167" i="39" l="1"/>
  <c r="U167" i="39" s="1"/>
  <c r="R154" i="38"/>
  <c r="U154" i="38" s="1"/>
  <c r="AS74" i="32"/>
  <c r="E9" i="41"/>
  <c r="M146" i="32"/>
  <c r="W123" i="37"/>
  <c r="P123" i="37"/>
  <c r="D24" i="41" s="1"/>
  <c r="AQ74" i="32"/>
  <c r="E7" i="41"/>
  <c r="V167" i="39"/>
  <c r="J167" i="39"/>
  <c r="E168" i="39" s="1"/>
  <c r="F168" i="39" s="1"/>
  <c r="W169" i="39"/>
  <c r="P169" i="39"/>
  <c r="L170" i="39" s="1"/>
  <c r="W136" i="39"/>
  <c r="AA166" i="39"/>
  <c r="AC166" i="39" s="1"/>
  <c r="E138" i="39"/>
  <c r="N156" i="38"/>
  <c r="O156" i="38" s="1"/>
  <c r="E128" i="38"/>
  <c r="V154" i="38"/>
  <c r="J154" i="38"/>
  <c r="E155" i="38" s="1"/>
  <c r="W126" i="38"/>
  <c r="AA152" i="38"/>
  <c r="AC152" i="38" s="1"/>
  <c r="Y120" i="37"/>
  <c r="F121" i="37"/>
  <c r="H121" i="37" s="1"/>
  <c r="E103" i="37"/>
  <c r="AD118" i="37"/>
  <c r="Y100" i="37"/>
  <c r="R121" i="37" l="1"/>
  <c r="U121" i="37" s="1"/>
  <c r="H168" i="39"/>
  <c r="Y167" i="39"/>
  <c r="AD166" i="39"/>
  <c r="I168" i="39"/>
  <c r="G168" i="39"/>
  <c r="Y136" i="39"/>
  <c r="AB136" i="39" s="1"/>
  <c r="N170" i="39"/>
  <c r="O170" i="39" s="1"/>
  <c r="H138" i="39"/>
  <c r="M138" i="39" s="1"/>
  <c r="W156" i="38"/>
  <c r="P156" i="38"/>
  <c r="L157" i="38" s="1"/>
  <c r="F155" i="38"/>
  <c r="H155" i="38" s="1"/>
  <c r="Y154" i="38"/>
  <c r="H128" i="38"/>
  <c r="M128" i="38" s="1"/>
  <c r="E129" i="38" s="1"/>
  <c r="Y126" i="38"/>
  <c r="AB126" i="38" s="1"/>
  <c r="AD152" i="38"/>
  <c r="I121" i="37"/>
  <c r="G121" i="37"/>
  <c r="H103" i="37"/>
  <c r="M103" i="37" s="1"/>
  <c r="AB100" i="37"/>
  <c r="R168" i="39" l="1"/>
  <c r="U168" i="39" s="1"/>
  <c r="J168" i="39"/>
  <c r="E169" i="39" s="1"/>
  <c r="V168" i="39"/>
  <c r="W170" i="39"/>
  <c r="P170" i="39"/>
  <c r="L171" i="39" s="1"/>
  <c r="N171" i="39" s="1"/>
  <c r="O171" i="39" s="1"/>
  <c r="AC136" i="39"/>
  <c r="E139" i="39"/>
  <c r="N157" i="38"/>
  <c r="O157" i="38" s="1"/>
  <c r="H129" i="38"/>
  <c r="M129" i="38" s="1"/>
  <c r="I155" i="38"/>
  <c r="G155" i="38"/>
  <c r="AC126" i="38"/>
  <c r="W127" i="38" s="1"/>
  <c r="R155" i="38"/>
  <c r="V121" i="37"/>
  <c r="J121" i="37"/>
  <c r="E122" i="37" s="1"/>
  <c r="E104" i="37"/>
  <c r="AC100" i="37"/>
  <c r="Y168" i="39" l="1"/>
  <c r="F169" i="39"/>
  <c r="W137" i="39"/>
  <c r="AA167" i="39"/>
  <c r="P171" i="39"/>
  <c r="L172" i="39" s="1"/>
  <c r="W171" i="39"/>
  <c r="H139" i="39"/>
  <c r="M139" i="39" s="1"/>
  <c r="E130" i="38"/>
  <c r="H130" i="38" s="1"/>
  <c r="M130" i="38" s="1"/>
  <c r="P157" i="38"/>
  <c r="L158" i="38" s="1"/>
  <c r="N158" i="38" s="1"/>
  <c r="O158" i="38" s="1"/>
  <c r="W157" i="38"/>
  <c r="V155" i="38"/>
  <c r="J155" i="38"/>
  <c r="E156" i="38" s="1"/>
  <c r="AA153" i="38"/>
  <c r="Y127" i="38"/>
  <c r="U155" i="38"/>
  <c r="F122" i="37"/>
  <c r="G122" i="37" s="1"/>
  <c r="Y121" i="37"/>
  <c r="H104" i="37"/>
  <c r="M104" i="37" s="1"/>
  <c r="D19" i="41" s="1"/>
  <c r="W101" i="37"/>
  <c r="AA119" i="37"/>
  <c r="AC119" i="37" s="1"/>
  <c r="AC167" i="39" l="1"/>
  <c r="AD167" i="39" s="1"/>
  <c r="AC153" i="38"/>
  <c r="AD153" i="38" s="1"/>
  <c r="H169" i="39"/>
  <c r="I169" i="39"/>
  <c r="G169" i="39"/>
  <c r="R169" i="39"/>
  <c r="U169" i="39" s="1"/>
  <c r="N172" i="39"/>
  <c r="O172" i="39" s="1"/>
  <c r="Y137" i="39"/>
  <c r="E140" i="39"/>
  <c r="F156" i="38"/>
  <c r="G156" i="38" s="1"/>
  <c r="W158" i="38"/>
  <c r="E131" i="38"/>
  <c r="H131" i="38" s="1"/>
  <c r="M131" i="38" s="1"/>
  <c r="P158" i="38"/>
  <c r="L159" i="38" s="1"/>
  <c r="AB127" i="38"/>
  <c r="AC127" i="38" s="1"/>
  <c r="Y155" i="38"/>
  <c r="I122" i="37"/>
  <c r="H122" i="37"/>
  <c r="R122" i="37"/>
  <c r="AD119" i="37"/>
  <c r="Y101" i="37"/>
  <c r="R156" i="38" l="1"/>
  <c r="Y156" i="38" s="1"/>
  <c r="I156" i="38"/>
  <c r="V169" i="39"/>
  <c r="J169" i="39"/>
  <c r="E170" i="39" s="1"/>
  <c r="P172" i="39"/>
  <c r="L173" i="39" s="1"/>
  <c r="W172" i="39"/>
  <c r="H140" i="39"/>
  <c r="M140" i="39" s="1"/>
  <c r="H156" i="38"/>
  <c r="E132" i="38"/>
  <c r="H132" i="38" s="1"/>
  <c r="M132" i="38" s="1"/>
  <c r="U156" i="38"/>
  <c r="N159" i="38"/>
  <c r="O159" i="38" s="1"/>
  <c r="W128" i="38"/>
  <c r="AA154" i="38"/>
  <c r="V122" i="37"/>
  <c r="J122" i="37"/>
  <c r="E123" i="37" s="1"/>
  <c r="F123" i="37" s="1"/>
  <c r="U122" i="37"/>
  <c r="AC154" i="38" l="1"/>
  <c r="AD154" i="38" s="1"/>
  <c r="H123" i="37"/>
  <c r="H126" i="37" s="1"/>
  <c r="F126" i="37"/>
  <c r="J156" i="38"/>
  <c r="E157" i="38" s="1"/>
  <c r="F157" i="38" s="1"/>
  <c r="G157" i="38" s="1"/>
  <c r="AB137" i="39"/>
  <c r="F170" i="39"/>
  <c r="H170" i="39" s="1"/>
  <c r="Y169" i="39"/>
  <c r="N173" i="39"/>
  <c r="O173" i="39" s="1"/>
  <c r="E141" i="39"/>
  <c r="V156" i="38"/>
  <c r="W159" i="38"/>
  <c r="E133" i="38"/>
  <c r="H133" i="38" s="1"/>
  <c r="M133" i="38" s="1"/>
  <c r="P159" i="38"/>
  <c r="L160" i="38" s="1"/>
  <c r="Y128" i="38"/>
  <c r="AB128" i="38" s="1"/>
  <c r="AB101" i="37"/>
  <c r="Y122" i="37"/>
  <c r="G123" i="37"/>
  <c r="G126" i="37" s="1"/>
  <c r="I123" i="37"/>
  <c r="I126" i="37" s="1"/>
  <c r="M54" i="32"/>
  <c r="R54" i="32"/>
  <c r="AH54" i="32"/>
  <c r="AC137" i="39" l="1"/>
  <c r="R170" i="39"/>
  <c r="U170" i="39" s="1"/>
  <c r="G170" i="39"/>
  <c r="I170" i="39"/>
  <c r="P173" i="39"/>
  <c r="L174" i="39" s="1"/>
  <c r="W173" i="39"/>
  <c r="H141" i="39"/>
  <c r="M141" i="39" s="1"/>
  <c r="I157" i="38"/>
  <c r="H157" i="38"/>
  <c r="E134" i="38"/>
  <c r="H134" i="38" s="1"/>
  <c r="M134" i="38" s="1"/>
  <c r="N160" i="38"/>
  <c r="AC128" i="38"/>
  <c r="R123" i="37"/>
  <c r="AC101" i="37"/>
  <c r="J123" i="37"/>
  <c r="D23" i="41" s="1"/>
  <c r="V123" i="37"/>
  <c r="AD54" i="32"/>
  <c r="L132" i="32" s="1"/>
  <c r="U123" i="37" l="1"/>
  <c r="Y123" i="37" s="1"/>
  <c r="R157" i="38"/>
  <c r="U157" i="38" s="1"/>
  <c r="V157" i="38"/>
  <c r="W138" i="39"/>
  <c r="Y138" i="39" s="1"/>
  <c r="AB138" i="39" s="1"/>
  <c r="AA168" i="39"/>
  <c r="V170" i="39"/>
  <c r="J170" i="39"/>
  <c r="E171" i="39" s="1"/>
  <c r="N174" i="39"/>
  <c r="O174" i="39" s="1"/>
  <c r="E142" i="39"/>
  <c r="J157" i="38"/>
  <c r="E158" i="38" s="1"/>
  <c r="E135" i="38"/>
  <c r="H135" i="38" s="1"/>
  <c r="M135" i="38" s="1"/>
  <c r="O160" i="38"/>
  <c r="W129" i="38"/>
  <c r="AA155" i="38"/>
  <c r="AA120" i="37"/>
  <c r="W102" i="37"/>
  <c r="Y102" i="37" s="1"/>
  <c r="W126" i="37"/>
  <c r="N132" i="32"/>
  <c r="Z100" i="32"/>
  <c r="AG85" i="32"/>
  <c r="AK85" i="32" s="1"/>
  <c r="AB85" i="32"/>
  <c r="AB100" i="32" s="1"/>
  <c r="AF50" i="32"/>
  <c r="AF49" i="32"/>
  <c r="AF48" i="32"/>
  <c r="AF51" i="32"/>
  <c r="AF47" i="32"/>
  <c r="AF44" i="32"/>
  <c r="AF46" i="32"/>
  <c r="AF43" i="32"/>
  <c r="AF42" i="32"/>
  <c r="AF45" i="32"/>
  <c r="AF41" i="32"/>
  <c r="AC168" i="39" l="1"/>
  <c r="AD168" i="39" s="1"/>
  <c r="AC155" i="38"/>
  <c r="AD155" i="38" s="1"/>
  <c r="AC120" i="37"/>
  <c r="AD120" i="37" s="1"/>
  <c r="D25" i="41"/>
  <c r="D26" i="41"/>
  <c r="Y157" i="38"/>
  <c r="AC138" i="39"/>
  <c r="W139" i="39" s="1"/>
  <c r="F171" i="39"/>
  <c r="I171" i="39" s="1"/>
  <c r="Y170" i="39"/>
  <c r="W174" i="39"/>
  <c r="P174" i="39"/>
  <c r="L175" i="39" s="1"/>
  <c r="H142" i="39"/>
  <c r="M142" i="39" s="1"/>
  <c r="F158" i="38"/>
  <c r="H158" i="38" s="1"/>
  <c r="W160" i="38"/>
  <c r="E136" i="38"/>
  <c r="H136" i="38" s="1"/>
  <c r="M136" i="38" s="1"/>
  <c r="F19" i="41" s="1"/>
  <c r="P160" i="38"/>
  <c r="L161" i="38" s="1"/>
  <c r="Y129" i="38"/>
  <c r="AB129" i="38" s="1"/>
  <c r="AB102" i="37"/>
  <c r="AC102" i="37" s="1"/>
  <c r="W103" i="37" s="1"/>
  <c r="O132" i="32"/>
  <c r="E132" i="32"/>
  <c r="G109" i="32"/>
  <c r="G123" i="32" s="1"/>
  <c r="AI85" i="32"/>
  <c r="AI100" i="32" s="1"/>
  <c r="AG100" i="32"/>
  <c r="Z77" i="32"/>
  <c r="AG62" i="32"/>
  <c r="AK62" i="32" s="1"/>
  <c r="AQ85" i="32" s="1"/>
  <c r="AB62" i="32"/>
  <c r="AB77" i="32" s="1"/>
  <c r="AE44" i="32"/>
  <c r="AB44" i="32"/>
  <c r="AE49" i="32"/>
  <c r="AB49" i="32"/>
  <c r="AE46" i="32"/>
  <c r="AB46" i="32"/>
  <c r="Y54" i="32"/>
  <c r="AF40" i="32"/>
  <c r="AE47" i="32"/>
  <c r="AB47" i="32"/>
  <c r="AE42" i="32"/>
  <c r="AB42" i="32"/>
  <c r="AE43" i="32"/>
  <c r="AB43" i="32"/>
  <c r="X54" i="32"/>
  <c r="AE40" i="32"/>
  <c r="AB40" i="32"/>
  <c r="AE45" i="32"/>
  <c r="AB45" i="32"/>
  <c r="AE48" i="32"/>
  <c r="AB48" i="32"/>
  <c r="AE50" i="32"/>
  <c r="AB50" i="32"/>
  <c r="AE51" i="32"/>
  <c r="AK50" i="32" s="1"/>
  <c r="AQ73" i="32" s="1"/>
  <c r="AB51" i="32"/>
  <c r="Z54" i="32"/>
  <c r="AB39" i="32"/>
  <c r="AG39" i="32"/>
  <c r="AE41" i="32"/>
  <c r="AB41" i="32"/>
  <c r="R158" i="38" l="1"/>
  <c r="U158" i="38" s="1"/>
  <c r="G158" i="38"/>
  <c r="AA169" i="39"/>
  <c r="R171" i="39"/>
  <c r="G171" i="39"/>
  <c r="H171" i="39"/>
  <c r="Y139" i="39"/>
  <c r="N175" i="39"/>
  <c r="O175" i="39" s="1"/>
  <c r="E143" i="39"/>
  <c r="I158" i="38"/>
  <c r="N161" i="38"/>
  <c r="O161" i="38" s="1"/>
  <c r="AC129" i="38"/>
  <c r="AA121" i="37"/>
  <c r="Y103" i="37"/>
  <c r="W132" i="32"/>
  <c r="AF54" i="32"/>
  <c r="F132" i="32"/>
  <c r="G132" i="32" s="1"/>
  <c r="P132" i="32"/>
  <c r="AK39" i="32"/>
  <c r="AI62" i="32"/>
  <c r="AI77" i="32" s="1"/>
  <c r="AG77" i="32"/>
  <c r="AK49" i="32"/>
  <c r="AQ72" i="32" s="1"/>
  <c r="AE54" i="32"/>
  <c r="AL39" i="32"/>
  <c r="AI40" i="32"/>
  <c r="AL40" i="32"/>
  <c r="AI41" i="32"/>
  <c r="AK40" i="32"/>
  <c r="AB54" i="32"/>
  <c r="AL44" i="32"/>
  <c r="AI45" i="32"/>
  <c r="AK44" i="32"/>
  <c r="AQ67" i="32" s="1"/>
  <c r="K113" i="32" s="1"/>
  <c r="AL51" i="32"/>
  <c r="AL45" i="32"/>
  <c r="AI46" i="32"/>
  <c r="AK45" i="32"/>
  <c r="AQ68" i="32" s="1"/>
  <c r="AL50" i="32"/>
  <c r="AR73" i="32" s="1"/>
  <c r="AI51" i="32"/>
  <c r="AL49" i="32"/>
  <c r="AR72" i="32" s="1"/>
  <c r="AI50" i="32"/>
  <c r="AL47" i="32"/>
  <c r="AR70" i="32" s="1"/>
  <c r="AI48" i="32"/>
  <c r="AK47" i="32"/>
  <c r="AQ70" i="32" s="1"/>
  <c r="AL46" i="32"/>
  <c r="AR69" i="32" s="1"/>
  <c r="S115" i="32" s="1"/>
  <c r="AI47" i="32"/>
  <c r="AK46" i="32"/>
  <c r="AQ69" i="32" s="1"/>
  <c r="K115" i="32" s="1"/>
  <c r="AG54" i="32"/>
  <c r="AI39" i="32"/>
  <c r="AL41" i="32"/>
  <c r="AI42" i="32"/>
  <c r="AK41" i="32"/>
  <c r="AQ64" i="32" s="1"/>
  <c r="AL42" i="32"/>
  <c r="AI43" i="32"/>
  <c r="AK42" i="32"/>
  <c r="AQ65" i="32" s="1"/>
  <c r="AL48" i="32"/>
  <c r="AR71" i="32" s="1"/>
  <c r="AI49" i="32"/>
  <c r="AK48" i="32"/>
  <c r="AQ71" i="32" s="1"/>
  <c r="AL43" i="32"/>
  <c r="AI44" i="32"/>
  <c r="AK43" i="32"/>
  <c r="AQ66" i="32" s="1"/>
  <c r="AR74" i="32" l="1"/>
  <c r="E8" i="41"/>
  <c r="AA115" i="32"/>
  <c r="AC169" i="39"/>
  <c r="AD169" i="39" s="1"/>
  <c r="AC121" i="37"/>
  <c r="AD121" i="37" s="1"/>
  <c r="L133" i="32"/>
  <c r="N133" i="32" s="1"/>
  <c r="K123" i="32"/>
  <c r="U132" i="32"/>
  <c r="T146" i="32"/>
  <c r="J171" i="39"/>
  <c r="E172" i="39" s="1"/>
  <c r="V171" i="39"/>
  <c r="U171" i="39"/>
  <c r="W175" i="39"/>
  <c r="AB139" i="39"/>
  <c r="AA155" i="39"/>
  <c r="P175" i="39"/>
  <c r="L176" i="39" s="1"/>
  <c r="H143" i="39"/>
  <c r="M143" i="39" s="1"/>
  <c r="J158" i="38"/>
  <c r="E159" i="38" s="1"/>
  <c r="V158" i="38"/>
  <c r="W130" i="38"/>
  <c r="Y130" i="38" s="1"/>
  <c r="AB130" i="38" s="1"/>
  <c r="AA156" i="38"/>
  <c r="W161" i="38"/>
  <c r="P161" i="38"/>
  <c r="L162" i="38" s="1"/>
  <c r="AB103" i="37"/>
  <c r="H107" i="37"/>
  <c r="AA107" i="37"/>
  <c r="AQ63" i="32"/>
  <c r="H132" i="32"/>
  <c r="I132" i="32"/>
  <c r="U114" i="32"/>
  <c r="AR68" i="32"/>
  <c r="P109" i="32"/>
  <c r="AR62" i="32"/>
  <c r="U110" i="32"/>
  <c r="AR64" i="32"/>
  <c r="U113" i="32"/>
  <c r="AR67" i="32"/>
  <c r="S113" i="32" s="1"/>
  <c r="S123" i="32" s="1"/>
  <c r="U109" i="32"/>
  <c r="AR63" i="32"/>
  <c r="U112" i="32"/>
  <c r="AR66" i="32"/>
  <c r="F109" i="32"/>
  <c r="AQ62" i="32"/>
  <c r="U111" i="32"/>
  <c r="AR65" i="32"/>
  <c r="AI54" i="32"/>
  <c r="AC156" i="38" l="1"/>
  <c r="AD156" i="38" s="1"/>
  <c r="F123" i="32"/>
  <c r="X109" i="32"/>
  <c r="X123" i="32" s="1"/>
  <c r="Y158" i="38"/>
  <c r="N176" i="39"/>
  <c r="O176" i="39" s="1"/>
  <c r="Y171" i="39"/>
  <c r="F172" i="39"/>
  <c r="H172" i="39" s="1"/>
  <c r="AC139" i="39"/>
  <c r="E144" i="39"/>
  <c r="AC130" i="38"/>
  <c r="W131" i="38" s="1"/>
  <c r="Y131" i="38" s="1"/>
  <c r="AB131" i="38" s="1"/>
  <c r="F159" i="38"/>
  <c r="G159" i="38" s="1"/>
  <c r="N162" i="38"/>
  <c r="H139" i="38"/>
  <c r="AC103" i="37"/>
  <c r="W104" i="37" s="1"/>
  <c r="Q109" i="32"/>
  <c r="R109" i="32" s="1"/>
  <c r="P123" i="32"/>
  <c r="J132" i="32"/>
  <c r="V132" i="32"/>
  <c r="O133" i="32"/>
  <c r="H109" i="32"/>
  <c r="O111" i="32"/>
  <c r="Q111" i="32" s="1"/>
  <c r="O114" i="32"/>
  <c r="Q114" i="32" s="1"/>
  <c r="O112" i="32"/>
  <c r="Q112" i="32" s="1"/>
  <c r="O113" i="32"/>
  <c r="Q113" i="32" s="1"/>
  <c r="O115" i="32"/>
  <c r="R159" i="38" l="1"/>
  <c r="U159" i="38" s="1"/>
  <c r="H159" i="38"/>
  <c r="P176" i="39"/>
  <c r="L177" i="39" s="1"/>
  <c r="N177" i="39" s="1"/>
  <c r="O177" i="39" s="1"/>
  <c r="W176" i="39"/>
  <c r="R172" i="39"/>
  <c r="U172" i="39" s="1"/>
  <c r="I172" i="39"/>
  <c r="G172" i="39"/>
  <c r="W140" i="39"/>
  <c r="AA170" i="39"/>
  <c r="H144" i="39"/>
  <c r="M144" i="39" s="1"/>
  <c r="E145" i="39" s="1"/>
  <c r="AA157" i="38"/>
  <c r="I159" i="38"/>
  <c r="AC131" i="38"/>
  <c r="AA158" i="38" s="1"/>
  <c r="AC158" i="38" s="1"/>
  <c r="O162" i="38"/>
  <c r="AA122" i="37"/>
  <c r="Y104" i="37"/>
  <c r="R114" i="32"/>
  <c r="W133" i="32"/>
  <c r="P133" i="32"/>
  <c r="R113" i="32"/>
  <c r="M109" i="32"/>
  <c r="R112" i="32"/>
  <c r="Q115" i="32"/>
  <c r="R115" i="32" s="1"/>
  <c r="R111" i="32"/>
  <c r="Y132" i="32"/>
  <c r="AC170" i="39" l="1"/>
  <c r="AD170" i="39" s="1"/>
  <c r="AC157" i="38"/>
  <c r="AD157" i="38" s="1"/>
  <c r="AC122" i="37"/>
  <c r="AD122" i="37" s="1"/>
  <c r="L134" i="32"/>
  <c r="N134" i="32" s="1"/>
  <c r="AD158" i="38"/>
  <c r="P177" i="39"/>
  <c r="L178" i="39" s="1"/>
  <c r="N178" i="39" s="1"/>
  <c r="O178" i="39" s="1"/>
  <c r="W177" i="39"/>
  <c r="H145" i="39"/>
  <c r="M145" i="39" s="1"/>
  <c r="V172" i="39"/>
  <c r="J172" i="39"/>
  <c r="E173" i="39" s="1"/>
  <c r="F173" i="39" s="1"/>
  <c r="W132" i="38"/>
  <c r="Y132" i="38" s="1"/>
  <c r="AB132" i="38" s="1"/>
  <c r="Y140" i="39"/>
  <c r="V159" i="38"/>
  <c r="J159" i="38"/>
  <c r="E160" i="38" s="1"/>
  <c r="W162" i="38"/>
  <c r="P162" i="38"/>
  <c r="L163" i="38" s="1"/>
  <c r="D22" i="41"/>
  <c r="AB104" i="37"/>
  <c r="R133" i="32"/>
  <c r="E110" i="32"/>
  <c r="Y159" i="38" l="1"/>
  <c r="W178" i="39"/>
  <c r="E146" i="39"/>
  <c r="H146" i="39" s="1"/>
  <c r="M146" i="39" s="1"/>
  <c r="P178" i="39"/>
  <c r="L179" i="39" s="1"/>
  <c r="Y172" i="39"/>
  <c r="G173" i="39"/>
  <c r="H173" i="39"/>
  <c r="I173" i="39"/>
  <c r="AC132" i="38"/>
  <c r="W133" i="38" s="1"/>
  <c r="Y133" i="38" s="1"/>
  <c r="AB133" i="38" s="1"/>
  <c r="AB140" i="39"/>
  <c r="AC140" i="39" s="1"/>
  <c r="F160" i="38"/>
  <c r="N163" i="38"/>
  <c r="N166" i="38" s="1"/>
  <c r="AC104" i="37"/>
  <c r="D21" i="41" s="1"/>
  <c r="H110" i="32"/>
  <c r="O134" i="32"/>
  <c r="Y109" i="32"/>
  <c r="U133" i="32"/>
  <c r="R173" i="39" l="1"/>
  <c r="U173" i="39" s="1"/>
  <c r="R160" i="38"/>
  <c r="U160" i="38" s="1"/>
  <c r="E147" i="39"/>
  <c r="H147" i="39" s="1"/>
  <c r="M147" i="39" s="1"/>
  <c r="N179" i="39"/>
  <c r="O179" i="39" s="1"/>
  <c r="V173" i="39"/>
  <c r="J173" i="39"/>
  <c r="E174" i="39" s="1"/>
  <c r="F174" i="39" s="1"/>
  <c r="I174" i="39" s="1"/>
  <c r="AA159" i="38"/>
  <c r="W141" i="39"/>
  <c r="Y141" i="39" s="1"/>
  <c r="AB141" i="39" s="1"/>
  <c r="AA171" i="39"/>
  <c r="AC133" i="38"/>
  <c r="AA160" i="38" s="1"/>
  <c r="I160" i="38"/>
  <c r="H160" i="38"/>
  <c r="G160" i="38"/>
  <c r="O163" i="38"/>
  <c r="O166" i="38" s="1"/>
  <c r="AA123" i="37"/>
  <c r="AB109" i="32"/>
  <c r="M110" i="32"/>
  <c r="W134" i="32"/>
  <c r="P134" i="32"/>
  <c r="AC171" i="39" l="1"/>
  <c r="AD171" i="39" s="1"/>
  <c r="AC159" i="38"/>
  <c r="AD159" i="38" s="1"/>
  <c r="AC123" i="37"/>
  <c r="AD123" i="37" s="1"/>
  <c r="L135" i="32"/>
  <c r="N135" i="32" s="1"/>
  <c r="O135" i="32" s="1"/>
  <c r="V160" i="38"/>
  <c r="W179" i="39"/>
  <c r="E148" i="39"/>
  <c r="H148" i="39" s="1"/>
  <c r="M148" i="39" s="1"/>
  <c r="P179" i="39"/>
  <c r="L180" i="39" s="1"/>
  <c r="N180" i="39" s="1"/>
  <c r="O180" i="39" s="1"/>
  <c r="Y173" i="39"/>
  <c r="G174" i="39"/>
  <c r="H174" i="39"/>
  <c r="AC141" i="39"/>
  <c r="W142" i="39" s="1"/>
  <c r="W134" i="38"/>
  <c r="Y134" i="38" s="1"/>
  <c r="AB134" i="38" s="1"/>
  <c r="J160" i="38"/>
  <c r="E161" i="38" s="1"/>
  <c r="W163" i="38"/>
  <c r="P163" i="38"/>
  <c r="F24" i="41" s="1"/>
  <c r="AC109" i="32"/>
  <c r="AA132" i="32" s="1"/>
  <c r="AC132" i="32" s="1"/>
  <c r="E111" i="32"/>
  <c r="H111" i="32" s="1"/>
  <c r="Y160" i="38" l="1"/>
  <c r="AC160" i="38" s="1"/>
  <c r="W180" i="39"/>
  <c r="E149" i="39"/>
  <c r="H149" i="39" s="1"/>
  <c r="M149" i="39" s="1"/>
  <c r="P180" i="39"/>
  <c r="L181" i="39" s="1"/>
  <c r="R174" i="39"/>
  <c r="U174" i="39" s="1"/>
  <c r="V174" i="39"/>
  <c r="J174" i="39"/>
  <c r="E175" i="39" s="1"/>
  <c r="F175" i="39" s="1"/>
  <c r="H175" i="39" s="1"/>
  <c r="AA172" i="39"/>
  <c r="Y142" i="39"/>
  <c r="AB142" i="39" s="1"/>
  <c r="AC134" i="38"/>
  <c r="AA161" i="38" s="1"/>
  <c r="F161" i="38"/>
  <c r="H161" i="38" s="1"/>
  <c r="W166" i="38"/>
  <c r="U126" i="37"/>
  <c r="V126" i="37"/>
  <c r="W110" i="32"/>
  <c r="Y110" i="32" s="1"/>
  <c r="AD132" i="32"/>
  <c r="M111" i="32"/>
  <c r="W135" i="32"/>
  <c r="P135" i="32"/>
  <c r="AC172" i="39" l="1"/>
  <c r="AD172" i="39" s="1"/>
  <c r="R161" i="38"/>
  <c r="U161" i="38" s="1"/>
  <c r="L136" i="32"/>
  <c r="N136" i="32" s="1"/>
  <c r="O136" i="32" s="1"/>
  <c r="AD160" i="38"/>
  <c r="N181" i="39"/>
  <c r="O181" i="39" s="1"/>
  <c r="E150" i="39"/>
  <c r="Y174" i="39"/>
  <c r="I175" i="39"/>
  <c r="G175" i="39"/>
  <c r="AC142" i="39"/>
  <c r="W135" i="38"/>
  <c r="Y135" i="38" s="1"/>
  <c r="AB135" i="38" s="1"/>
  <c r="I161" i="38"/>
  <c r="G161" i="38"/>
  <c r="AB110" i="32"/>
  <c r="E112" i="32"/>
  <c r="H112" i="32" s="1"/>
  <c r="R175" i="39" l="1"/>
  <c r="U175" i="39" s="1"/>
  <c r="W181" i="39"/>
  <c r="P181" i="39"/>
  <c r="L182" i="39" s="1"/>
  <c r="H150" i="39"/>
  <c r="M150" i="39" s="1"/>
  <c r="J175" i="39"/>
  <c r="E176" i="39" s="1"/>
  <c r="V175" i="39"/>
  <c r="AC135" i="38"/>
  <c r="W136" i="38" s="1"/>
  <c r="Y136" i="38" s="1"/>
  <c r="AB136" i="38" s="1"/>
  <c r="W143" i="39"/>
  <c r="AA173" i="39"/>
  <c r="V161" i="38"/>
  <c r="J161" i="38"/>
  <c r="E162" i="38" s="1"/>
  <c r="M112" i="32"/>
  <c r="E113" i="32" s="1"/>
  <c r="H113" i="32" s="1"/>
  <c r="W136" i="32"/>
  <c r="P136" i="32"/>
  <c r="AC173" i="39" l="1"/>
  <c r="AD173" i="39" s="1"/>
  <c r="L137" i="32"/>
  <c r="N137" i="32" s="1"/>
  <c r="F176" i="39"/>
  <c r="G176" i="39" s="1"/>
  <c r="N182" i="39"/>
  <c r="E151" i="39"/>
  <c r="Y175" i="39"/>
  <c r="AA162" i="38"/>
  <c r="Y143" i="39"/>
  <c r="AB143" i="39" s="1"/>
  <c r="AC143" i="39" s="1"/>
  <c r="AC136" i="38"/>
  <c r="F162" i="38"/>
  <c r="I162" i="38" s="1"/>
  <c r="Y161" i="38"/>
  <c r="Y139" i="38"/>
  <c r="M113" i="32"/>
  <c r="AC161" i="38" l="1"/>
  <c r="AD161" i="38" s="1"/>
  <c r="R176" i="39"/>
  <c r="U176" i="39" s="1"/>
  <c r="AA163" i="38"/>
  <c r="F21" i="41"/>
  <c r="I176" i="39"/>
  <c r="H176" i="39"/>
  <c r="O182" i="39"/>
  <c r="H151" i="39"/>
  <c r="M151" i="39" s="1"/>
  <c r="W144" i="39"/>
  <c r="AA174" i="39"/>
  <c r="R162" i="38"/>
  <c r="H162" i="38"/>
  <c r="G162" i="38"/>
  <c r="E114" i="32"/>
  <c r="H114" i="32" s="1"/>
  <c r="O137" i="32"/>
  <c r="AC174" i="39" l="1"/>
  <c r="AD174" i="39" s="1"/>
  <c r="J176" i="39"/>
  <c r="E177" i="39" s="1"/>
  <c r="F177" i="39" s="1"/>
  <c r="I177" i="39" s="1"/>
  <c r="V176" i="39"/>
  <c r="W182" i="39"/>
  <c r="P182" i="39"/>
  <c r="L183" i="39" s="1"/>
  <c r="E152" i="39"/>
  <c r="Y144" i="39"/>
  <c r="AB144" i="39" s="1"/>
  <c r="AC144" i="39" s="1"/>
  <c r="W145" i="39" s="1"/>
  <c r="J162" i="38"/>
  <c r="E163" i="38" s="1"/>
  <c r="V162" i="38"/>
  <c r="U162" i="38"/>
  <c r="AB139" i="38"/>
  <c r="M114" i="32"/>
  <c r="E115" i="32" s="1"/>
  <c r="H115" i="32" s="1"/>
  <c r="W137" i="32"/>
  <c r="P137" i="32"/>
  <c r="L138" i="32" s="1"/>
  <c r="Y162" i="38" l="1"/>
  <c r="Y176" i="39"/>
  <c r="G177" i="39"/>
  <c r="H177" i="39"/>
  <c r="N183" i="39"/>
  <c r="N186" i="39" s="1"/>
  <c r="Y145" i="39"/>
  <c r="AB145" i="39" s="1"/>
  <c r="H152" i="39"/>
  <c r="H155" i="39" s="1"/>
  <c r="AA175" i="39"/>
  <c r="F163" i="38"/>
  <c r="M115" i="32"/>
  <c r="N138" i="32"/>
  <c r="O138" i="32" s="1"/>
  <c r="AC175" i="39" l="1"/>
  <c r="AD175" i="39" s="1"/>
  <c r="AC162" i="38"/>
  <c r="R163" i="38"/>
  <c r="G163" i="38"/>
  <c r="G166" i="38" s="1"/>
  <c r="F166" i="38"/>
  <c r="I163" i="38"/>
  <c r="I166" i="38" s="1"/>
  <c r="H163" i="38"/>
  <c r="H166" i="38" s="1"/>
  <c r="R177" i="39"/>
  <c r="U177" i="39" s="1"/>
  <c r="V177" i="39"/>
  <c r="J177" i="39"/>
  <c r="E178" i="39" s="1"/>
  <c r="O183" i="39"/>
  <c r="O186" i="39" s="1"/>
  <c r="AC145" i="39"/>
  <c r="M152" i="39"/>
  <c r="G19" i="41" s="1"/>
  <c r="U163" i="38"/>
  <c r="U166" i="38" s="1"/>
  <c r="Y107" i="37"/>
  <c r="E116" i="32"/>
  <c r="H116" i="32" s="1"/>
  <c r="W138" i="32"/>
  <c r="P138" i="32"/>
  <c r="L139" i="32" s="1"/>
  <c r="V163" i="38" l="1"/>
  <c r="J163" i="38"/>
  <c r="F23" i="41" s="1"/>
  <c r="Y177" i="39"/>
  <c r="F178" i="39"/>
  <c r="I178" i="39" s="1"/>
  <c r="W146" i="39"/>
  <c r="Y146" i="39" s="1"/>
  <c r="AB146" i="39" s="1"/>
  <c r="AA176" i="39"/>
  <c r="P183" i="39"/>
  <c r="G24" i="41" s="1"/>
  <c r="W183" i="39"/>
  <c r="AD162" i="38"/>
  <c r="M116" i="32"/>
  <c r="N139" i="32"/>
  <c r="O139" i="32" s="1"/>
  <c r="AC176" i="39" l="1"/>
  <c r="AD176" i="39" s="1"/>
  <c r="V166" i="38"/>
  <c r="Y163" i="38"/>
  <c r="R178" i="39"/>
  <c r="U178" i="39" s="1"/>
  <c r="AC146" i="39"/>
  <c r="AA177" i="39" s="1"/>
  <c r="H178" i="39"/>
  <c r="G178" i="39"/>
  <c r="W186" i="39"/>
  <c r="F22" i="41"/>
  <c r="AC126" i="37"/>
  <c r="AB107" i="37"/>
  <c r="E117" i="32"/>
  <c r="H117" i="32" s="1"/>
  <c r="W139" i="32"/>
  <c r="P139" i="32"/>
  <c r="L140" i="32" s="1"/>
  <c r="AC177" i="39" l="1"/>
  <c r="AD177" i="39" s="1"/>
  <c r="AC163" i="38"/>
  <c r="F26" i="41"/>
  <c r="F25" i="41"/>
  <c r="V178" i="39"/>
  <c r="Y178" i="39" s="1"/>
  <c r="W147" i="39"/>
  <c r="Y147" i="39" s="1"/>
  <c r="AB147" i="39" s="1"/>
  <c r="J178" i="39"/>
  <c r="E179" i="39" s="1"/>
  <c r="AD126" i="37"/>
  <c r="M117" i="32"/>
  <c r="N140" i="32"/>
  <c r="O140" i="32" s="1"/>
  <c r="AD163" i="38" l="1"/>
  <c r="AD166" i="38" s="1"/>
  <c r="R179" i="39"/>
  <c r="U179" i="39" s="1"/>
  <c r="AC147" i="39"/>
  <c r="W148" i="39" s="1"/>
  <c r="F179" i="39"/>
  <c r="G179" i="39" s="1"/>
  <c r="E118" i="32"/>
  <c r="W140" i="32"/>
  <c r="P140" i="32"/>
  <c r="L141" i="32" s="1"/>
  <c r="AC166" i="38" l="1"/>
  <c r="H179" i="39"/>
  <c r="AA178" i="39"/>
  <c r="I179" i="39"/>
  <c r="Y148" i="39"/>
  <c r="AB148" i="39" s="1"/>
  <c r="H118" i="32"/>
  <c r="N141" i="32"/>
  <c r="O141" i="32" s="1"/>
  <c r="AC178" i="39" l="1"/>
  <c r="AD178" i="39" s="1"/>
  <c r="J179" i="39"/>
  <c r="E180" i="39" s="1"/>
  <c r="V179" i="39"/>
  <c r="AC148" i="39"/>
  <c r="M118" i="32"/>
  <c r="E119" i="32" s="1"/>
  <c r="P141" i="32"/>
  <c r="L142" i="32" s="1"/>
  <c r="W141" i="32"/>
  <c r="Y179" i="39" l="1"/>
  <c r="F180" i="39"/>
  <c r="H180" i="39" s="1"/>
  <c r="W149" i="39"/>
  <c r="AA179" i="39"/>
  <c r="H119" i="32"/>
  <c r="N142" i="32"/>
  <c r="O142" i="32" s="1"/>
  <c r="AC179" i="39" l="1"/>
  <c r="AD179" i="39" s="1"/>
  <c r="G180" i="39"/>
  <c r="I180" i="39"/>
  <c r="R180" i="39"/>
  <c r="Y149" i="39"/>
  <c r="AB149" i="39" s="1"/>
  <c r="M119" i="32"/>
  <c r="P142" i="32"/>
  <c r="L143" i="32" s="1"/>
  <c r="N143" i="32" s="1"/>
  <c r="N146" i="32" s="1"/>
  <c r="W142" i="32"/>
  <c r="U180" i="39" l="1"/>
  <c r="V180" i="39"/>
  <c r="J180" i="39"/>
  <c r="E181" i="39" s="1"/>
  <c r="AC149" i="39"/>
  <c r="O143" i="32"/>
  <c r="E120" i="32"/>
  <c r="W143" i="32" l="1"/>
  <c r="W146" i="32" s="1"/>
  <c r="O146" i="32"/>
  <c r="F181" i="39"/>
  <c r="Y180" i="39"/>
  <c r="AA180" i="39"/>
  <c r="W150" i="39"/>
  <c r="P143" i="32"/>
  <c r="E24" i="41" s="1"/>
  <c r="H120" i="32"/>
  <c r="H123" i="32" s="1"/>
  <c r="AC180" i="39" l="1"/>
  <c r="AD180" i="39" s="1"/>
  <c r="I181" i="39"/>
  <c r="R181" i="39"/>
  <c r="H181" i="39"/>
  <c r="G181" i="39"/>
  <c r="Y150" i="39"/>
  <c r="AB150" i="39" s="1"/>
  <c r="M120" i="32"/>
  <c r="E19" i="41" s="1"/>
  <c r="V181" i="39" l="1"/>
  <c r="U181" i="39"/>
  <c r="J181" i="39"/>
  <c r="E182" i="39" s="1"/>
  <c r="AC150" i="39"/>
  <c r="Y181" i="39" l="1"/>
  <c r="R182" i="39" s="1"/>
  <c r="U182" i="39" s="1"/>
  <c r="F182" i="39"/>
  <c r="I182" i="39" s="1"/>
  <c r="AA181" i="39"/>
  <c r="W151" i="39"/>
  <c r="AC181" i="39" l="1"/>
  <c r="AD181" i="39" s="1"/>
  <c r="H182" i="39"/>
  <c r="G182" i="39"/>
  <c r="Y151" i="39"/>
  <c r="AB151" i="39" s="1"/>
  <c r="J182" i="39" l="1"/>
  <c r="E183" i="39" s="1"/>
  <c r="V182" i="39"/>
  <c r="AC151" i="39"/>
  <c r="Y182" i="39" l="1"/>
  <c r="F183" i="39"/>
  <c r="AA182" i="39"/>
  <c r="W152" i="39"/>
  <c r="O110" i="32"/>
  <c r="AC182" i="39" l="1"/>
  <c r="H183" i="39"/>
  <c r="H186" i="39" s="1"/>
  <c r="F186" i="39"/>
  <c r="I183" i="39"/>
  <c r="I186" i="39" s="1"/>
  <c r="G183" i="39"/>
  <c r="G186" i="39" s="1"/>
  <c r="R183" i="39"/>
  <c r="Y152" i="39"/>
  <c r="Y155" i="39" s="1"/>
  <c r="Q110" i="32"/>
  <c r="Q123" i="32" s="1"/>
  <c r="AB152" i="39" l="1"/>
  <c r="U183" i="39"/>
  <c r="U186" i="39" s="1"/>
  <c r="J183" i="39"/>
  <c r="G23" i="41" s="1"/>
  <c r="V183" i="39"/>
  <c r="AD182" i="39"/>
  <c r="G22" i="41"/>
  <c r="R110" i="32"/>
  <c r="R123" i="32" s="1"/>
  <c r="AC152" i="39" l="1"/>
  <c r="AB155" i="39"/>
  <c r="V186" i="39"/>
  <c r="Y183" i="39"/>
  <c r="G25" i="41" l="1"/>
  <c r="AA183" i="39"/>
  <c r="AC183" i="39" s="1"/>
  <c r="G21" i="41"/>
  <c r="AC110" i="32"/>
  <c r="G26" i="41" l="1"/>
  <c r="AA133" i="32"/>
  <c r="W111" i="32"/>
  <c r="AD183" i="39" l="1"/>
  <c r="AC186" i="39"/>
  <c r="Y111" i="32"/>
  <c r="AD186" i="39" l="1"/>
  <c r="AB111" i="32"/>
  <c r="AC111" i="32" l="1"/>
  <c r="W112" i="32" s="1"/>
  <c r="AA134" i="32" l="1"/>
  <c r="Y112" i="32"/>
  <c r="AB112" i="32" l="1"/>
  <c r="AC112" i="32" l="1"/>
  <c r="W113" i="32" s="1"/>
  <c r="AA135" i="32" l="1"/>
  <c r="Y113" i="32"/>
  <c r="AB113" i="32" l="1"/>
  <c r="AC113" i="32" l="1"/>
  <c r="AA136" i="32" s="1"/>
  <c r="W114" i="32" l="1"/>
  <c r="Y114" i="32" l="1"/>
  <c r="AB114" i="32" s="1"/>
  <c r="AC114" i="32" l="1"/>
  <c r="AA137" i="32" s="1"/>
  <c r="W115" i="32" l="1"/>
  <c r="Y115" i="32" l="1"/>
  <c r="AA123" i="32" l="1"/>
  <c r="AB115" i="32" l="1"/>
  <c r="AC115" i="32" l="1"/>
  <c r="W116" i="32" s="1"/>
  <c r="Y116" i="32" s="1"/>
  <c r="AB116" i="32" s="1"/>
  <c r="AC116" i="32" l="1"/>
  <c r="AA139" i="32" s="1"/>
  <c r="AA138" i="32"/>
  <c r="W117" i="32" l="1"/>
  <c r="Y117" i="32" s="1"/>
  <c r="AB117" i="32" s="1"/>
  <c r="AC117" i="32" l="1"/>
  <c r="AA140" i="32" l="1"/>
  <c r="W118" i="32"/>
  <c r="Y118" i="32" l="1"/>
  <c r="AB118" i="32" s="1"/>
  <c r="AC118" i="32" l="1"/>
  <c r="AA141" i="32" l="1"/>
  <c r="W119" i="32"/>
  <c r="Y119" i="32" l="1"/>
  <c r="AB119" i="32" l="1"/>
  <c r="AC119" i="32" l="1"/>
  <c r="AA142" i="32" s="1"/>
  <c r="W120" i="32" l="1"/>
  <c r="Y120" i="32" s="1"/>
  <c r="Y123" i="32" s="1"/>
  <c r="AB120" i="32" l="1"/>
  <c r="AB123" i="32" l="1"/>
  <c r="AC120" i="32"/>
  <c r="AA143" i="32" l="1"/>
  <c r="E21" i="41"/>
  <c r="E22" i="41"/>
  <c r="E133" i="32" l="1"/>
  <c r="F133" i="32" l="1"/>
  <c r="I133" i="32" l="1"/>
  <c r="H133" i="32"/>
  <c r="G133" i="32"/>
  <c r="V133" i="32" l="1"/>
  <c r="Y133" i="32" s="1"/>
  <c r="J133" i="32"/>
  <c r="E134" i="32" s="1"/>
  <c r="AC133" i="32" l="1"/>
  <c r="R134" i="32"/>
  <c r="F134" i="32"/>
  <c r="G134" i="32" l="1"/>
  <c r="U134" i="32"/>
  <c r="I134" i="32"/>
  <c r="H134" i="32"/>
  <c r="J134" i="32" l="1"/>
  <c r="E135" i="32" s="1"/>
  <c r="F135" i="32" s="1"/>
  <c r="AD133" i="32"/>
  <c r="V134" i="32"/>
  <c r="G135" i="32" l="1"/>
  <c r="Y134" i="32"/>
  <c r="I135" i="32"/>
  <c r="H135" i="32"/>
  <c r="AC134" i="32" l="1"/>
  <c r="V135" i="32"/>
  <c r="R135" i="32"/>
  <c r="J135" i="32"/>
  <c r="E136" i="32" s="1"/>
  <c r="F136" i="32" s="1"/>
  <c r="I136" i="32" l="1"/>
  <c r="U135" i="32"/>
  <c r="H136" i="32"/>
  <c r="G136" i="32"/>
  <c r="V136" i="32" l="1"/>
  <c r="AD134" i="32"/>
  <c r="Y135" i="32"/>
  <c r="J136" i="32"/>
  <c r="E137" i="32" s="1"/>
  <c r="AC135" i="32" l="1"/>
  <c r="R136" i="32"/>
  <c r="F137" i="32"/>
  <c r="I137" i="32" l="1"/>
  <c r="U136" i="32"/>
  <c r="H137" i="32"/>
  <c r="G137" i="32"/>
  <c r="J137" i="32" l="1"/>
  <c r="E138" i="32" s="1"/>
  <c r="F138" i="32" s="1"/>
  <c r="I138" i="32" s="1"/>
  <c r="V137" i="32"/>
  <c r="Y136" i="32"/>
  <c r="AD135" i="32"/>
  <c r="AC136" i="32" l="1"/>
  <c r="R137" i="32"/>
  <c r="G138" i="32"/>
  <c r="H138" i="32"/>
  <c r="V138" i="32" l="1"/>
  <c r="U137" i="32"/>
  <c r="Y137" i="32" s="1"/>
  <c r="J138" i="32"/>
  <c r="E139" i="32" s="1"/>
  <c r="F139" i="32" s="1"/>
  <c r="I139" i="32" s="1"/>
  <c r="AC137" i="32" l="1"/>
  <c r="R138" i="32"/>
  <c r="AD136" i="32"/>
  <c r="G139" i="32"/>
  <c r="H139" i="32"/>
  <c r="V139" i="32" l="1"/>
  <c r="U138" i="32"/>
  <c r="Y138" i="32" s="1"/>
  <c r="J139" i="32"/>
  <c r="E140" i="32" s="1"/>
  <c r="F140" i="32" s="1"/>
  <c r="I140" i="32" s="1"/>
  <c r="AC138" i="32" l="1"/>
  <c r="AD138" i="32" s="1"/>
  <c r="R139" i="32"/>
  <c r="U139" i="32" s="1"/>
  <c r="Y139" i="32" s="1"/>
  <c r="AD137" i="32"/>
  <c r="G140" i="32"/>
  <c r="H140" i="32"/>
  <c r="AC139" i="32" l="1"/>
  <c r="AD139" i="32" s="1"/>
  <c r="V140" i="32"/>
  <c r="R140" i="32"/>
  <c r="U140" i="32" s="1"/>
  <c r="J140" i="32"/>
  <c r="E141" i="32" s="1"/>
  <c r="F141" i="32" s="1"/>
  <c r="G141" i="32" s="1"/>
  <c r="Y140" i="32" l="1"/>
  <c r="AC140" i="32" s="1"/>
  <c r="H141" i="32"/>
  <c r="I141" i="32"/>
  <c r="R141" i="32" l="1"/>
  <c r="U141" i="32" s="1"/>
  <c r="AD140" i="32"/>
  <c r="V141" i="32"/>
  <c r="J141" i="32"/>
  <c r="E142" i="32" s="1"/>
  <c r="F142" i="32" s="1"/>
  <c r="G142" i="32" s="1"/>
  <c r="Y141" i="32" l="1"/>
  <c r="AC141" i="32" s="1"/>
  <c r="H142" i="32"/>
  <c r="I142" i="32"/>
  <c r="AD141" i="32" l="1"/>
  <c r="R142" i="32"/>
  <c r="U142" i="32" s="1"/>
  <c r="V142" i="32"/>
  <c r="J142" i="32"/>
  <c r="E143" i="32" s="1"/>
  <c r="F143" i="32" s="1"/>
  <c r="G143" i="32" l="1"/>
  <c r="G146" i="32" s="1"/>
  <c r="F146" i="32"/>
  <c r="Y142" i="32"/>
  <c r="AC142" i="32" s="1"/>
  <c r="H143" i="32"/>
  <c r="H146" i="32" s="1"/>
  <c r="I143" i="32"/>
  <c r="I146" i="32" s="1"/>
  <c r="R143" i="32" l="1"/>
  <c r="U143" i="32" s="1"/>
  <c r="U146" i="32" s="1"/>
  <c r="AD142" i="32"/>
  <c r="V143" i="32"/>
  <c r="J143" i="32"/>
  <c r="E23" i="41" s="1"/>
  <c r="V146" i="32" l="1"/>
  <c r="Y143" i="32"/>
  <c r="AC143" i="32" s="1"/>
  <c r="E25" i="41" l="1"/>
  <c r="E26" i="41"/>
  <c r="AC146" i="32" l="1"/>
  <c r="AD143" i="32" l="1"/>
  <c r="AD146" i="32" s="1"/>
  <c r="U40" i="38" l="1"/>
  <c r="U50" i="38"/>
  <c r="U49" i="38"/>
  <c r="U53" i="38"/>
  <c r="U54" i="38"/>
  <c r="U43" i="38"/>
  <c r="U48" i="38"/>
  <c r="U46" i="38"/>
  <c r="U45" i="38"/>
  <c r="U51" i="38"/>
  <c r="U47" i="38"/>
  <c r="U41" i="38"/>
  <c r="U44" i="38"/>
  <c r="U42" i="38"/>
  <c r="U52" i="38"/>
  <c r="U55" i="38"/>
  <c r="U58" i="38" l="1"/>
</calcChain>
</file>

<file path=xl/sharedStrings.xml><?xml version="1.0" encoding="utf-8"?>
<sst xmlns="http://schemas.openxmlformats.org/spreadsheetml/2006/main" count="2045" uniqueCount="463">
  <si>
    <t>RA</t>
  </si>
  <si>
    <t>Total</t>
  </si>
  <si>
    <t>Disc</t>
  </si>
  <si>
    <t>PVCF</t>
  </si>
  <si>
    <t>CSM</t>
  </si>
  <si>
    <t>Difference</t>
  </si>
  <si>
    <t>Y1'Q1</t>
  </si>
  <si>
    <t>Y1'Q2</t>
  </si>
  <si>
    <t>Y1'Q3</t>
  </si>
  <si>
    <t>Y1'Q4</t>
  </si>
  <si>
    <t>Period</t>
  </si>
  <si>
    <t>Opening
b/ce</t>
  </si>
  <si>
    <t>Premium</t>
  </si>
  <si>
    <t>Interest</t>
  </si>
  <si>
    <t>Closing
b/ce</t>
  </si>
  <si>
    <t>Y2'Q1</t>
  </si>
  <si>
    <t>Y2'Q2</t>
  </si>
  <si>
    <t>Y2'Q3</t>
  </si>
  <si>
    <t>Y2'Q4</t>
  </si>
  <si>
    <t>Y3'Q1</t>
  </si>
  <si>
    <t>Y3'Q2</t>
  </si>
  <si>
    <t>Y3'Q3</t>
  </si>
  <si>
    <t>Y3'Q4</t>
  </si>
  <si>
    <t>Y4'Q1</t>
  </si>
  <si>
    <t>Y4'Q2</t>
  </si>
  <si>
    <t>Y4'Q3</t>
  </si>
  <si>
    <t>Y4'Q4</t>
  </si>
  <si>
    <t>Y5'Q1</t>
  </si>
  <si>
    <t>Y5'Q2</t>
  </si>
  <si>
    <t>Y5'Q3</t>
  </si>
  <si>
    <t>Y5'Q4</t>
  </si>
  <si>
    <t>Undiscounted cash flows</t>
  </si>
  <si>
    <t>Discounted cash flows</t>
  </si>
  <si>
    <t>Coverage Units</t>
  </si>
  <si>
    <t>Claims</t>
  </si>
  <si>
    <t>Expenses</t>
  </si>
  <si>
    <t>%</t>
  </si>
  <si>
    <t>Premium
cash flow</t>
  </si>
  <si>
    <t>Risk distribution</t>
  </si>
  <si>
    <t>Premium Allocation Approach</t>
  </si>
  <si>
    <t>Acq. cost
cash flow</t>
  </si>
  <si>
    <t>Acq. cost</t>
  </si>
  <si>
    <t>Abbreviations</t>
  </si>
  <si>
    <t xml:space="preserve">excl. </t>
  </si>
  <si>
    <t>excluding</t>
  </si>
  <si>
    <t>PV</t>
  </si>
  <si>
    <t>Present Value</t>
  </si>
  <si>
    <t>exp.</t>
  </si>
  <si>
    <t>diff.</t>
  </si>
  <si>
    <t>difference</t>
  </si>
  <si>
    <t>LFRC</t>
  </si>
  <si>
    <t>PAA</t>
  </si>
  <si>
    <t>CU</t>
  </si>
  <si>
    <t>disc.</t>
  </si>
  <si>
    <t>acq</t>
  </si>
  <si>
    <t>acquisition</t>
  </si>
  <si>
    <t>Present Value of Cash Flows</t>
  </si>
  <si>
    <t>Risk Adjustment</t>
  </si>
  <si>
    <t>Contractual Service Margin</t>
  </si>
  <si>
    <t>b/ce</t>
  </si>
  <si>
    <t>balance</t>
  </si>
  <si>
    <t>distrib.</t>
  </si>
  <si>
    <t>distribution</t>
  </si>
  <si>
    <t>Liability for Remaining Coverage</t>
  </si>
  <si>
    <t>discounting, discounted</t>
  </si>
  <si>
    <t>CF</t>
  </si>
  <si>
    <t>annual</t>
  </si>
  <si>
    <t>Period and discounting</t>
  </si>
  <si>
    <t>Cash Flows</t>
  </si>
  <si>
    <t>Coverage units</t>
  </si>
  <si>
    <t>a</t>
  </si>
  <si>
    <t>b</t>
  </si>
  <si>
    <t>i</t>
  </si>
  <si>
    <t>ii</t>
  </si>
  <si>
    <t>iii</t>
  </si>
  <si>
    <t>B120</t>
  </si>
  <si>
    <t>An entity may simplify the measurement of a group of insurance contracts using the premium allocation approach set out in paragraphs 55–59 if, and only if, at the inception of the group:</t>
  </si>
  <si>
    <t>the entity reasonably expects that such simplification would produce a measurement of the liability for remaining coverage for the group that would not differ materially from the one that would be produced applying the requirements in paragraphs 32–52; or</t>
  </si>
  <si>
    <t>the coverage period of each contract in the group (including coverage arising from all premiums within the contract boundary determined at that date applying paragraph 34) is one year or less.</t>
  </si>
  <si>
    <t>The criterion in paragraph 53(a) is not met if at the inception of the group an entity expects significant variability in the fulfilment cash flows that would affect the measurement of the liability for remaining coverage during the period before a claim is incurred. Variability in the fulfilment cash flows increases with, for example:</t>
  </si>
  <si>
    <t>the extent of future cash flows relating to any derivatives embedded in the contracts; and</t>
  </si>
  <si>
    <t>the length of the coverage period of the group of contracts.</t>
  </si>
  <si>
    <t>Using the premium allocation approach, an entity shall measure the liability for remaining coverage as follows:</t>
  </si>
  <si>
    <t>on initial recognition, the carrying amount of the liability is:</t>
  </si>
  <si>
    <t>the premiums, if any, received at initial recognition;</t>
  </si>
  <si>
    <t>minus any insurance acquisition cash flows at that date, unless the entity chooses to recognise the payments as an expense applying paragraph 59(a); and</t>
  </si>
  <si>
    <t>plus or minus any amount arising from the derecognition at that date of the asset or liability recognised for insurance acquisition cash flows applying paragraph 27.</t>
  </si>
  <si>
    <t>at the end of each subsequent reporting period, the carrying amount of the liability is the carrying amount at the start of the reporting period:</t>
  </si>
  <si>
    <t>plus the premiums received in the period;</t>
  </si>
  <si>
    <t>minus insurance acquisition cash flows; unless the entity chooses to recognise the payments as an expense applying paragraph 59(a);</t>
  </si>
  <si>
    <t>plus any amounts relating to the amortisation of insurance acquisition cash flows recognised as an expense in the reporting period; unless the entity chooses to recognise insurance acquisition cash flows as an expense applying paragraph 59(a);</t>
  </si>
  <si>
    <t>iv</t>
  </si>
  <si>
    <t>plus any adjustment to a financing component, applying paragraph 56;</t>
  </si>
  <si>
    <t>v</t>
  </si>
  <si>
    <t>minus the amount recognised as insurance revenue for coverage provided in that period (see paragraph B126); and</t>
  </si>
  <si>
    <t>B126</t>
  </si>
  <si>
    <t>vi</t>
  </si>
  <si>
    <t>minus any investment component paid or transferred to the liability for incurred claims.</t>
  </si>
  <si>
    <t>If insurance contracts in the group have a significant financing component, an entity shall adjust the carrying amount of the liability for remaining coverage to reflect the time value of money and the effect of financial risk using the discount rates specified in paragraph 36, as determined on initial recognition. The entity is not required to adjust the carrying amount of the liability for remaining coverage to reflect the time value of money and the effect of financial risk if, at initial recognition, the entity expects that the time between providing each part of the coverage and the related premium due date is no more than a year.</t>
  </si>
  <si>
    <t>If at any time during the coverage period, facts and circumstances indicate that a group of insurance contracts is onerous, an entity shall calculate the difference between:</t>
  </si>
  <si>
    <t>the carrying amount of the liability for remaining coverage determined applying paragraph 55; and</t>
  </si>
  <si>
    <t>the fulfilment cash flows that relate to remaining coverage of the group, applying paragraphs 33–37 and B36–B92. However, if, in applying paragraph 59(b), the entity does not adjust the liability for incurred claims for the time value of money and the effect of financial risk, it shall not include in the fulfilment cash flows any such adjustment.</t>
  </si>
  <si>
    <t>To the extent that the fulfilment cash flows described in paragraph 57(b) exceed the carrying amount described in paragraph 57(a), the entity shall recognise a loss in profit or loss and increase the liability for remaining coverage.</t>
  </si>
  <si>
    <t>In applying the premium allocation approach, an entity:</t>
  </si>
  <si>
    <t>may choose to recognise any insurance acquisition cash flows as expenses when it incurs those costs, provided that the coverage period of each contract in the group at initial recognition is no more than one year.</t>
  </si>
  <si>
    <t>shall measure the liability for incurred claims for the group of insurance contracts at the fulfilment cash flows relating to incurred claims, applying paragraphs 33–37 and B36–B92. However, the entity is not required to adjust future cash flows for the time value of money and the effect of financial risk if those cash flows are expected to be paid or received in one year or less from the date the claims are incurred.</t>
  </si>
  <si>
    <t>The total insurance revenue for a group of insurance contracts is the consideration for the contracts, ie the amount of premiums paid to the entity:</t>
  </si>
  <si>
    <t>adjusted for a financing effect; and</t>
  </si>
  <si>
    <t>excluding any investment components.</t>
  </si>
  <si>
    <t>B125</t>
  </si>
  <si>
    <t>An entity shall determine insurance revenue related to insurance acquisition cash flows by allocating the portion of the premiums that relate to recovering those cash flows to each reporting period in a systematic way on the basis of the passage of time. An entity shall recognise the same amount as insurance service expenses.</t>
  </si>
  <si>
    <t>When an entity applies the premium allocation approach in paragraphs 55–58, insurance revenue for the period is the amount of expected premium receipts (excluding any investment component and adjusted to reflect the time value of money and the effect of financial risk, if applicable, applying paragraph 56) allocated to the period. The entity shall allocate the expected premium receipts to each period of coverage:</t>
  </si>
  <si>
    <t>on the basis of the passage of time; but</t>
  </si>
  <si>
    <t>if the expected pattern of release of risk during the coverage period differs significantly from the passage of time, then on the basis of the expected timing of incurred insurance service expenses.</t>
  </si>
  <si>
    <t>B127</t>
  </si>
  <si>
    <t>An entity shall change the basis of allocation between paragraphs B126(a) and B126(b) as necessary if facts and circumstances change.</t>
  </si>
  <si>
    <t xml:space="preserve"> Insurance revenue</t>
  </si>
  <si>
    <t>Lapse ratio</t>
  </si>
  <si>
    <t>yes</t>
  </si>
  <si>
    <t>Premium
refund</t>
  </si>
  <si>
    <t>incl.</t>
  </si>
  <si>
    <t>including</t>
  </si>
  <si>
    <t>risk</t>
  </si>
  <si>
    <t>Acquisition cost recognition</t>
  </si>
  <si>
    <t>Disc.
Factor</t>
  </si>
  <si>
    <t>CU (excl. lapses)</t>
  </si>
  <si>
    <t>RD (excl. lapses)</t>
  </si>
  <si>
    <t>Policies IF</t>
  </si>
  <si>
    <t>Description</t>
  </si>
  <si>
    <t>CU (incl. lapses)</t>
  </si>
  <si>
    <t>RD (incl. lapses)</t>
  </si>
  <si>
    <t>Adjustment to financing component</t>
  </si>
  <si>
    <t>Expense payment pattern</t>
  </si>
  <si>
    <t>Release</t>
  </si>
  <si>
    <t>Input</t>
  </si>
  <si>
    <t>Expense ratio</t>
  </si>
  <si>
    <t>Closed list: yes, no</t>
  </si>
  <si>
    <t>Closed list: time, policies IF, risk, immediate</t>
  </si>
  <si>
    <t>Closed list: time, policies IF, risk</t>
  </si>
  <si>
    <t>Can be equal to pattern used for UPR/EP calculations under IFRS 4</t>
  </si>
  <si>
    <t>BEL movement</t>
  </si>
  <si>
    <t>CSM movement</t>
  </si>
  <si>
    <t>GMM</t>
  </si>
  <si>
    <t>Delta</t>
  </si>
  <si>
    <t>Mkt ass chg</t>
  </si>
  <si>
    <t>Quarter</t>
  </si>
  <si>
    <t>Nominal</t>
  </si>
  <si>
    <t>Relative</t>
  </si>
  <si>
    <t>avg</t>
  </si>
  <si>
    <t>FCF</t>
  </si>
  <si>
    <t>Perdio</t>
  </si>
  <si>
    <t>Discount rate</t>
  </si>
  <si>
    <t>Premium exp. adj.</t>
  </si>
  <si>
    <t>Avg Policies IF</t>
  </si>
  <si>
    <t>Premium pattern</t>
  </si>
  <si>
    <t>Coverage period in years</t>
  </si>
  <si>
    <t>Before Change</t>
  </si>
  <si>
    <t>After Change</t>
  </si>
  <si>
    <t>General Measurement Model</t>
  </si>
  <si>
    <t xml:space="preserve">   Premium Allocation Approach</t>
  </si>
  <si>
    <r>
      <t xml:space="preserve">Expense ratio </t>
    </r>
    <r>
      <rPr>
        <b/>
        <sz val="10"/>
        <color theme="4" tint="-0.249977111117893"/>
        <rFont val="Calibri"/>
        <family val="2"/>
        <scheme val="minor"/>
      </rPr>
      <t>[B]</t>
    </r>
  </si>
  <si>
    <t>Risk distribution pattern discounted</t>
  </si>
  <si>
    <t>Change in assumptions quarter</t>
  </si>
  <si>
    <t>Coverage units discounted</t>
  </si>
  <si>
    <t>A. GMM Calculations (initial assumptions)</t>
  </si>
  <si>
    <t>B. GMM Calculations (after non-market assumption change)</t>
  </si>
  <si>
    <t>C. GMM Calculations (after market assumption change)</t>
  </si>
  <si>
    <t>D. GMM Calculations</t>
  </si>
  <si>
    <t>E. PAA Calculations</t>
  </si>
  <si>
    <t>[A1]</t>
  </si>
  <si>
    <t>[A2]</t>
  </si>
  <si>
    <t>[A3]</t>
  </si>
  <si>
    <t>[A4]</t>
  </si>
  <si>
    <t>[A5]</t>
  </si>
  <si>
    <t>[A6]</t>
  </si>
  <si>
    <t>[A7]</t>
  </si>
  <si>
    <t>[A8]</t>
  </si>
  <si>
    <t>average</t>
  </si>
  <si>
    <t>IF</t>
  </si>
  <si>
    <t>In-Force</t>
  </si>
  <si>
    <t>[A9]</t>
  </si>
  <si>
    <t>[A10]</t>
  </si>
  <si>
    <t>[A11]</t>
  </si>
  <si>
    <t>[A12]</t>
  </si>
  <si>
    <t>[A13]</t>
  </si>
  <si>
    <t>[A14]</t>
  </si>
  <si>
    <t>[A15]</t>
  </si>
  <si>
    <t>[A16]</t>
  </si>
  <si>
    <t>[A17]</t>
  </si>
  <si>
    <t>[A18]</t>
  </si>
  <si>
    <t>[A19]</t>
  </si>
  <si>
    <t>[A20]</t>
  </si>
  <si>
    <t>[A21]</t>
  </si>
  <si>
    <t>[A22]</t>
  </si>
  <si>
    <t>[A23]</t>
  </si>
  <si>
    <t>[A24]</t>
  </si>
  <si>
    <t>[A25]</t>
  </si>
  <si>
    <t>[A26]</t>
  </si>
  <si>
    <t>[A27]</t>
  </si>
  <si>
    <t>[A28]</t>
  </si>
  <si>
    <t>[A29]</t>
  </si>
  <si>
    <t>[A30]</t>
  </si>
  <si>
    <t>[A31]</t>
  </si>
  <si>
    <t>[A32]</t>
  </si>
  <si>
    <t>[B1]</t>
  </si>
  <si>
    <t>[B2]</t>
  </si>
  <si>
    <t>[B3]</t>
  </si>
  <si>
    <t>[B4]</t>
  </si>
  <si>
    <t>[B5]</t>
  </si>
  <si>
    <t>[B6]</t>
  </si>
  <si>
    <t>[B7]</t>
  </si>
  <si>
    <t>[B8]</t>
  </si>
  <si>
    <t>[B9]</t>
  </si>
  <si>
    <t>[B10]</t>
  </si>
  <si>
    <t>[B11]</t>
  </si>
  <si>
    <t>[B12]</t>
  </si>
  <si>
    <t>[B13]</t>
  </si>
  <si>
    <t>[B14]</t>
  </si>
  <si>
    <t>[B15]</t>
  </si>
  <si>
    <t>[B16]</t>
  </si>
  <si>
    <t>[B17]</t>
  </si>
  <si>
    <t>[B18]</t>
  </si>
  <si>
    <t>[B19]</t>
  </si>
  <si>
    <t>[B20]</t>
  </si>
  <si>
    <t>[B21]</t>
  </si>
  <si>
    <t>[B22]</t>
  </si>
  <si>
    <t>[B23]</t>
  </si>
  <si>
    <t>[B24]</t>
  </si>
  <si>
    <t>[B25]</t>
  </si>
  <si>
    <t>[B26]</t>
  </si>
  <si>
    <t>[B27]</t>
  </si>
  <si>
    <t>[B28]</t>
  </si>
  <si>
    <t>[B29]</t>
  </si>
  <si>
    <t>[B30]</t>
  </si>
  <si>
    <t>[B31]</t>
  </si>
  <si>
    <t>[B32]</t>
  </si>
  <si>
    <t>[B33]</t>
  </si>
  <si>
    <t>[B34]</t>
  </si>
  <si>
    <t>[B35]</t>
  </si>
  <si>
    <t>[C1]</t>
  </si>
  <si>
    <t>[C2]</t>
  </si>
  <si>
    <t>[C3]</t>
  </si>
  <si>
    <t>[C4]</t>
  </si>
  <si>
    <t>[C5]</t>
  </si>
  <si>
    <t>[C6]</t>
  </si>
  <si>
    <t>[C7]</t>
  </si>
  <si>
    <t>[C8]</t>
  </si>
  <si>
    <t>[C9]</t>
  </si>
  <si>
    <t>[C10]</t>
  </si>
  <si>
    <t>[C11]</t>
  </si>
  <si>
    <t>[C12]</t>
  </si>
  <si>
    <t>[C13]</t>
  </si>
  <si>
    <t>[C14]</t>
  </si>
  <si>
    <t>[C15]</t>
  </si>
  <si>
    <t>[C16]</t>
  </si>
  <si>
    <t>[C17]</t>
  </si>
  <si>
    <t>[C18]</t>
  </si>
  <si>
    <t>[C19]</t>
  </si>
  <si>
    <t>[C20]</t>
  </si>
  <si>
    <t>[C21]</t>
  </si>
  <si>
    <t>[C22]</t>
  </si>
  <si>
    <t>[C23]</t>
  </si>
  <si>
    <t>[C24]</t>
  </si>
  <si>
    <t>[C25]</t>
  </si>
  <si>
    <t>[C26]</t>
  </si>
  <si>
    <t>[C27]</t>
  </si>
  <si>
    <t>[C28]</t>
  </si>
  <si>
    <t>[C29]</t>
  </si>
  <si>
    <t>[C30]</t>
  </si>
  <si>
    <t>[D1]</t>
  </si>
  <si>
    <t>[D2]</t>
  </si>
  <si>
    <t>[D3]</t>
  </si>
  <si>
    <t>[D4]</t>
  </si>
  <si>
    <t>[D5]</t>
  </si>
  <si>
    <t>[D6]</t>
  </si>
  <si>
    <t>[D7]</t>
  </si>
  <si>
    <t>[D8]</t>
  </si>
  <si>
    <t>[D9]</t>
  </si>
  <si>
    <t>[D10]</t>
  </si>
  <si>
    <t>[D11]</t>
  </si>
  <si>
    <t>[D12]</t>
  </si>
  <si>
    <t>[D13]</t>
  </si>
  <si>
    <t>[D14]</t>
  </si>
  <si>
    <t>[D15]</t>
  </si>
  <si>
    <t>[D16]</t>
  </si>
  <si>
    <t>[D17]</t>
  </si>
  <si>
    <t>[D18]</t>
  </si>
  <si>
    <t>[D19]</t>
  </si>
  <si>
    <t>[D20]</t>
  </si>
  <si>
    <t>[D21]</t>
  </si>
  <si>
    <t>[D22]</t>
  </si>
  <si>
    <t>[D23]</t>
  </si>
  <si>
    <t>[D24]</t>
  </si>
  <si>
    <t>[C31]</t>
  </si>
  <si>
    <t>[C32]</t>
  </si>
  <si>
    <t>[C33]</t>
  </si>
  <si>
    <t>[C34]</t>
  </si>
  <si>
    <t>[C35]</t>
  </si>
  <si>
    <t>[E1]</t>
  </si>
  <si>
    <t>[E2]</t>
  </si>
  <si>
    <t>[E3]</t>
  </si>
  <si>
    <t>[E4]</t>
  </si>
  <si>
    <t>[E5]</t>
  </si>
  <si>
    <t>[E6]</t>
  </si>
  <si>
    <t>[E7]</t>
  </si>
  <si>
    <t>[E8]</t>
  </si>
  <si>
    <t>[E9]</t>
  </si>
  <si>
    <t>[E10]</t>
  </si>
  <si>
    <t>[E11]</t>
  </si>
  <si>
    <t>[E12]</t>
  </si>
  <si>
    <t>[E13]</t>
  </si>
  <si>
    <t>[E14]</t>
  </si>
  <si>
    <t>[E15]</t>
  </si>
  <si>
    <t>[E16]</t>
  </si>
  <si>
    <t>[E17]</t>
  </si>
  <si>
    <t>[E18]</t>
  </si>
  <si>
    <t>[E19]</t>
  </si>
  <si>
    <t>[E20]</t>
  </si>
  <si>
    <t>[E21]</t>
  </si>
  <si>
    <t>[E23]</t>
  </si>
  <si>
    <t>[E24]</t>
  </si>
  <si>
    <t>[E25]</t>
  </si>
  <si>
    <t>RD</t>
  </si>
  <si>
    <t>Risk Distribution</t>
  </si>
  <si>
    <t>Fulfilment Cash Flows</t>
  </si>
  <si>
    <t>Future premium</t>
  </si>
  <si>
    <t>Risk adjustment movement</t>
  </si>
  <si>
    <t>BEL</t>
  </si>
  <si>
    <t>Best Estimate of Liability</t>
  </si>
  <si>
    <t>Change</t>
  </si>
  <si>
    <t>adj.</t>
  </si>
  <si>
    <t>adjustment</t>
  </si>
  <si>
    <t>experience</t>
  </si>
  <si>
    <t>ass</t>
  </si>
  <si>
    <t>assumptions</t>
  </si>
  <si>
    <t>amort.</t>
  </si>
  <si>
    <t>amortisation</t>
  </si>
  <si>
    <t>Release:
Policies IF</t>
  </si>
  <si>
    <t>New
business</t>
  </si>
  <si>
    <t>Cash
inflow</t>
  </si>
  <si>
    <t>Cash
outflow</t>
  </si>
  <si>
    <t>Non-mkt
ass chg</t>
  </si>
  <si>
    <t>Mkt
ass chg</t>
  </si>
  <si>
    <t>Expense payment
pattern</t>
  </si>
  <si>
    <t>P&amp;L</t>
  </si>
  <si>
    <t>Profit &amp; Loss</t>
  </si>
  <si>
    <t>UPR</t>
  </si>
  <si>
    <t>Unearned Premium Reserve</t>
  </si>
  <si>
    <t>EP</t>
  </si>
  <si>
    <t>Earned Premium</t>
  </si>
  <si>
    <t>Represents pattern of loss occurrence</t>
  </si>
  <si>
    <t>2 years</t>
  </si>
  <si>
    <t>3 years</t>
  </si>
  <si>
    <t>4 years</t>
  </si>
  <si>
    <t>5 years</t>
  </si>
  <si>
    <t>PAA LFRC before floor comes down to zero</t>
  </si>
  <si>
    <t>PAA LFRC after floor comes down to zero</t>
  </si>
  <si>
    <t>FCF comes down to zero</t>
  </si>
  <si>
    <t>RA comes down to zero</t>
  </si>
  <si>
    <t>PV of future premiums comes down to zero</t>
  </si>
  <si>
    <t>Total nominal future premiums comes down to zero</t>
  </si>
  <si>
    <t>A</t>
  </si>
  <si>
    <t>B</t>
  </si>
  <si>
    <t>C</t>
  </si>
  <si>
    <t>D</t>
  </si>
  <si>
    <t>BEL comes down to zero</t>
  </si>
  <si>
    <t>Check description</t>
  </si>
  <si>
    <t>Section</t>
  </si>
  <si>
    <t>CSM comes down to zero</t>
  </si>
  <si>
    <t>LC comes down to zero</t>
  </si>
  <si>
    <t>E</t>
  </si>
  <si>
    <t>Unrecognised acq. cost comes down to zero</t>
  </si>
  <si>
    <t>semi-ann</t>
  </si>
  <si>
    <t>single</t>
  </si>
  <si>
    <t>no</t>
  </si>
  <si>
    <t>quarterly</t>
  </si>
  <si>
    <t>Claims recoveries inflation rate</t>
  </si>
  <si>
    <t>Reinsuarnce premium refund on lapse</t>
  </si>
  <si>
    <t>Unearned reinsurance expense</t>
  </si>
  <si>
    <r>
      <t xml:space="preserve">Reinsurance risk adjustment percentage </t>
    </r>
    <r>
      <rPr>
        <b/>
        <sz val="10"/>
        <color theme="4" tint="-0.249977111117893"/>
        <rFont val="Calibri"/>
        <family val="2"/>
        <scheme val="minor"/>
      </rPr>
      <t>[D]</t>
    </r>
  </si>
  <si>
    <r>
      <t xml:space="preserve">Combined loss ratio </t>
    </r>
    <r>
      <rPr>
        <b/>
        <sz val="10"/>
        <color theme="4" tint="-0.249977111117893"/>
        <rFont val="Calibri"/>
        <family val="2"/>
        <scheme val="minor"/>
      </rPr>
      <t>([A]-[B])x(1+[D])-[C]</t>
    </r>
  </si>
  <si>
    <t>Release:
Time</t>
  </si>
  <si>
    <t>Release:
Risk</t>
  </si>
  <si>
    <t>Acq. cost
amort.</t>
  </si>
  <si>
    <t>Alloc. of re
premium</t>
  </si>
  <si>
    <t>[D25]</t>
  </si>
  <si>
    <t>Premium
exp. adj.</t>
  </si>
  <si>
    <t>Premium experience adj. goes to CSM</t>
  </si>
  <si>
    <t>abrev</t>
  </si>
  <si>
    <t>mkt</t>
  </si>
  <si>
    <t>market</t>
  </si>
  <si>
    <t>chg</t>
  </si>
  <si>
    <t>reins</t>
  </si>
  <si>
    <t>abbreviations</t>
  </si>
  <si>
    <t>reinsurance</t>
  </si>
  <si>
    <t>Unearned revenue comes down to zero</t>
  </si>
  <si>
    <t>GWP</t>
  </si>
  <si>
    <t>Gross Written Premium</t>
  </si>
  <si>
    <t>Percentage of reinsurance claims recoveries in relation to reinsurance premium</t>
  </si>
  <si>
    <t>Should not be reduced with attributable expenses because they are included in the expense ratio (see below)</t>
  </si>
  <si>
    <t>Should not be reduced with acquisition costs because they are included in acquisition cost ratio. (see below)</t>
  </si>
  <si>
    <t>Should represent best estimate of reinsurance claims recoveries i.e. without any risk adjustments. Risk adjustment is allowed for separately.</t>
  </si>
  <si>
    <t>If applicable reinsurance claims recoveries should be estimated taking into account salvages and subrogations to give the best estimate of recoveries.</t>
  </si>
  <si>
    <t>Should exclude acquisition costs because they are included in acquisition cost ratio</t>
  </si>
  <si>
    <t>Should represent best estimate of expenses i.e. without any risk adjustments. Risk adjustment is allowed for separately.</t>
  </si>
  <si>
    <t>Percentage of attributable expenses (attributable to reinsurance contracts) in relation to reinsurance premium</t>
  </si>
  <si>
    <t>Under IFRS17 acquisition costs do not have to be incremental i.e. vary on the sales volume</t>
  </si>
  <si>
    <t>Unless the cedant provides a distinct service to the reinsurer that results in a cost to the reinsurer for selling, underwriting and starting a group of reinsurance contracts that it issues, the ceding commission reflects a reduction in the transaction price, and not insurance acquisition cash flows of the reinsurer.</t>
  </si>
  <si>
    <t>Nominal value of reinsurance premiums i.e. undiscounted value.</t>
  </si>
  <si>
    <t>Should disregard lapses - reinsurance premiums will be decreased by lapses in the projection</t>
  </si>
  <si>
    <t>Total reinsurance premiums</t>
  </si>
  <si>
    <t>Reinsurance premiums pattern</t>
  </si>
  <si>
    <t>Percentage of reinsurance acquisition costs in relation to reinsurance premium</t>
  </si>
  <si>
    <r>
      <t>Claims recoveries to reins. premiums ratio</t>
    </r>
    <r>
      <rPr>
        <b/>
        <sz val="10"/>
        <color theme="4" tint="-0.249977111117893"/>
        <rFont val="Calibri"/>
        <family val="2"/>
        <scheme val="minor"/>
      </rPr>
      <t xml:space="preserve"> [A]</t>
    </r>
  </si>
  <si>
    <t>Claims recoveries to
reins. premiums ratio</t>
  </si>
  <si>
    <t>Closed list: quarterly, semi-annual, annual, single, pattern</t>
  </si>
  <si>
    <t>Reinsurance risk adjustment percentage</t>
  </si>
  <si>
    <t>IFRS17 discount rate from the underwriting year</t>
  </si>
  <si>
    <t>Should represent the locked-in discount rate relate to the analysed underwriting year</t>
  </si>
  <si>
    <t>Single rate assumed for the whole projection (simplification)</t>
  </si>
  <si>
    <t>Claims recoveries
inflation rate</t>
  </si>
  <si>
    <t>Claims recoveries inflation rate representing expected increases in claims</t>
  </si>
  <si>
    <t>Ratio of lapses (resignations) in terms of the number of reinsured policies</t>
  </si>
  <si>
    <t>Default option: no</t>
  </si>
  <si>
    <t>Coverage units
discounted</t>
  </si>
  <si>
    <t>No: CSM release in each quarter will be done on undiscounted coverage units basis</t>
  </si>
  <si>
    <t>Yes: CSM release in each quarter will be done on discounted coverage units basis (more CSM released in earlier years)</t>
  </si>
  <si>
    <t>Risk distribution discounted</t>
  </si>
  <si>
    <t>No: Allocation of reinsurance premium to the cost of reinsurance in each quarter will be done on nominal basis</t>
  </si>
  <si>
    <t>Yes: Allocation of reinsurance premium to the cost of reinsurance in each quarter will be done on discounted basis (more cost allocated to earlier years)</t>
  </si>
  <si>
    <t>Reinsurance premium refund on lapse</t>
  </si>
  <si>
    <t>No: In case of a lapse reinsurance premium is not be refunded to the cedant (full reinsurance premium is recognized as reinsurance cost)</t>
  </si>
  <si>
    <t>Yes: In case of a lapse of the underlying policy reinsurance premium is refunded to a the cedant (lowering reinsurance cost)</t>
  </si>
  <si>
    <r>
      <t xml:space="preserve">Reinsurance acquisition cost ratio </t>
    </r>
    <r>
      <rPr>
        <b/>
        <sz val="10"/>
        <color theme="4" tint="-0.249977111117893"/>
        <rFont val="Calibri"/>
        <family val="2"/>
        <scheme val="minor"/>
      </rPr>
      <t>[C]</t>
    </r>
  </si>
  <si>
    <t>Reinsurance acquisition cost amortisation pattern</t>
  </si>
  <si>
    <t>Reinsurance acquisition
cost ratio</t>
  </si>
  <si>
    <t>Time: Reinsurance acquisition cost is amortized in proportion to time</t>
  </si>
  <si>
    <t>Policies IF: Reinsurance acquisition cost is amortized in proportion to the number active policies</t>
  </si>
  <si>
    <t>Risk: Reinsurance acquisition cost is amortized in proportion to risk</t>
  </si>
  <si>
    <t>Yes: Interest is accreted on the PAA reinsurance AFRC</t>
  </si>
  <si>
    <t>No: No interest is accreted on the PAA reinsurance AFRC</t>
  </si>
  <si>
    <t>AFRC</t>
  </si>
  <si>
    <t>Asset for Remaining Coverage</t>
  </si>
  <si>
    <t>Time: Expenses are projected in the same amount in all projection quarters (fixed expenses, independent on number of active policies or premium)</t>
  </si>
  <si>
    <t>Policies IF: Expenses are projected in proportion to number of active policies (expense per policy is fixed)</t>
  </si>
  <si>
    <t>Risk: Expenses are projected in proportion to risk</t>
  </si>
  <si>
    <t>Yes: Reinsurance premium experience adjustment goes to the CSM</t>
  </si>
  <si>
    <t>No: Reinsurance premium experience adjustment is recognised in the P&amp;L</t>
  </si>
  <si>
    <t>The pattern impacts results not the value itself (e.g. if uniform - can be "1" in all cells)</t>
  </si>
  <si>
    <t>Examples of coverage units (sum assured, annuity payment)</t>
  </si>
  <si>
    <t>The closer the pattern of coverage units is to the risk distribution the smaller the differences between two measurement models</t>
  </si>
  <si>
    <t>Default: Pattern of sum insured</t>
  </si>
  <si>
    <t>Typical deviations from uniform distribution: seasonality (e.g. flood) or engineering contracts where risk increases over time</t>
  </si>
  <si>
    <t>Premium payment
pattern</t>
  </si>
  <si>
    <t>This premium payment pattern is used if in "Reinsurance premiums pattern" input option "pattern" is selected.</t>
  </si>
  <si>
    <t>Represents pattern of reinsurance premium payments</t>
  </si>
  <si>
    <t>The reinsurance acquisition costs may include reinsurance brokers fees.</t>
  </si>
  <si>
    <t>Risk adjustment as the percentage in relation to reinsurance claims recoveries reduced by expenses</t>
  </si>
  <si>
    <t>If "pattern" option is selected then the model spreads the reinsurance premium in line with the pattern given in [A15] and [B15]</t>
  </si>
  <si>
    <t>Reinsurance acquisition costs amortisation pattern</t>
  </si>
  <si>
    <t>Immediate: Immediate recognition of reinsurance acquisition cost. Allowed only for contracts with the coverage period up to one year</t>
  </si>
  <si>
    <t>Premium payment pattern</t>
  </si>
  <si>
    <t>Premium Allocation Approach - Reinsurance AFRC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</si>
</sst>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_ ;\-#,##0\ "/>
    <numFmt numFmtId="165" formatCode="#,##0.00_ ;\-#,##0.00\ "/>
    <numFmt numFmtId="166" formatCode="#,##0.0_ ;\-#,##0.0\ "/>
    <numFmt numFmtId="167" formatCode="0.0%"/>
    <numFmt numFmtId="168" formatCode="#,##0.0"/>
    <numFmt numFmtId="169" formatCode="0.000"/>
    <numFmt numFmtId="170" formatCode="#,##0.0000"/>
    <numFmt numFmtId="171" formatCode="0.000%"/>
    <numFmt numFmtId="172" formatCode="#,##0.000_ ;\-#,##0.000\ "/>
  </numFmts>
  <fonts count="26" x14ac:knownFonts="1">
    <font>
      <sz val="11"/>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sz val="11"/>
      <color theme="1"/>
      <name val="Calibri"/>
      <family val="2"/>
      <scheme val="minor"/>
    </font>
    <font>
      <b/>
      <sz val="10"/>
      <color theme="1" tint="0.34998626667073579"/>
      <name val="Calibri"/>
      <family val="2"/>
      <scheme val="minor"/>
    </font>
    <font>
      <b/>
      <sz val="11"/>
      <color theme="1" tint="0.34998626667073579"/>
      <name val="Calibri"/>
      <family val="2"/>
      <scheme val="minor"/>
    </font>
    <font>
      <b/>
      <sz val="12"/>
      <color theme="1"/>
      <name val="Calibri"/>
      <family val="2"/>
      <scheme val="minor"/>
    </font>
    <font>
      <sz val="12"/>
      <color theme="1"/>
      <name val="Calibri"/>
      <family val="2"/>
      <scheme val="minor"/>
    </font>
    <font>
      <b/>
      <sz val="12"/>
      <color rgb="FF231F20"/>
      <name val="Calibri"/>
      <family val="2"/>
      <scheme val="minor"/>
    </font>
    <font>
      <sz val="12"/>
      <color rgb="FF231F20"/>
      <name val="Calibri"/>
      <family val="2"/>
      <scheme val="minor"/>
    </font>
    <font>
      <b/>
      <sz val="10"/>
      <color theme="4" tint="-0.249977111117893"/>
      <name val="Calibri"/>
      <family val="2"/>
      <scheme val="minor"/>
    </font>
    <font>
      <b/>
      <u/>
      <sz val="12"/>
      <color theme="1"/>
      <name val="Calibri"/>
      <family val="2"/>
      <scheme val="minor"/>
    </font>
    <font>
      <b/>
      <sz val="14"/>
      <color theme="1"/>
      <name val="Calibri"/>
      <family val="2"/>
      <scheme val="minor"/>
    </font>
    <font>
      <sz val="12"/>
      <color rgb="FF222222"/>
      <name val="Arial"/>
      <family val="2"/>
      <charset val="238"/>
    </font>
    <font>
      <b/>
      <sz val="14"/>
      <color rgb="FFFF0000"/>
      <name val="Calibri"/>
      <family val="2"/>
      <scheme val="minor"/>
    </font>
    <font>
      <sz val="10"/>
      <color rgb="FF6B6351"/>
      <name val="Arial"/>
      <family val="2"/>
    </font>
    <font>
      <sz val="10"/>
      <color theme="1"/>
      <name val="Open Sans"/>
      <family val="2"/>
    </font>
    <font>
      <b/>
      <sz val="10"/>
      <color rgb="FFFFC000"/>
      <name val="Arial"/>
      <family val="2"/>
    </font>
    <font>
      <b/>
      <sz val="10"/>
      <color theme="0"/>
      <name val="Arial"/>
      <family val="2"/>
    </font>
    <font>
      <b/>
      <sz val="10"/>
      <color theme="2" tint="-0.749992370372631"/>
      <name val="Arial"/>
      <family val="2"/>
    </font>
    <font>
      <sz val="10"/>
      <color rgb="FFFF0000"/>
      <name val="Calibri"/>
      <family val="2"/>
      <scheme val="minor"/>
    </font>
    <font>
      <sz val="11"/>
      <color theme="1" tint="0.34998626667073579"/>
      <name val="Calibri"/>
      <family val="2"/>
      <scheme val="minor"/>
    </font>
    <font>
      <sz val="8"/>
      <name val="Calibri"/>
      <family val="2"/>
      <scheme val="minor"/>
    </font>
    <font>
      <b/>
      <sz val="14"/>
      <color theme="4" tint="-0.249977111117893"/>
      <name val="Calibri"/>
      <family val="2"/>
      <scheme val="minor"/>
    </font>
    <font>
      <sz val="10"/>
      <color theme="1"/>
      <name val="Arial"/>
      <family val="2"/>
    </font>
  </fonts>
  <fills count="9">
    <fill>
      <patternFill patternType="none"/>
    </fill>
    <fill>
      <patternFill patternType="gray125"/>
    </fill>
    <fill>
      <patternFill patternType="solid">
        <fgColor indexed="65"/>
        <bgColor indexed="64"/>
      </patternFill>
    </fill>
    <fill>
      <patternFill patternType="solid">
        <fgColor theme="8" tint="0.79998168889431442"/>
        <bgColor indexed="64"/>
      </patternFill>
    </fill>
    <fill>
      <patternFill patternType="solid">
        <fgColor theme="0"/>
        <bgColor indexed="64"/>
      </patternFill>
    </fill>
    <fill>
      <patternFill patternType="solid">
        <fgColor rgb="FFFFD200"/>
        <bgColor indexed="64"/>
      </patternFill>
    </fill>
    <fill>
      <patternFill patternType="solid">
        <fgColor rgb="FF6B6351"/>
        <bgColor indexed="64"/>
      </patternFill>
    </fill>
    <fill>
      <patternFill patternType="solid">
        <fgColor rgb="FFD9D9D9"/>
        <bgColor indexed="64"/>
      </patternFill>
    </fill>
    <fill>
      <patternFill patternType="solid">
        <fgColor theme="4" tint="-0.249977111117893"/>
        <bgColor indexed="64"/>
      </patternFill>
    </fill>
  </fills>
  <borders count="16">
    <border>
      <left/>
      <right/>
      <top/>
      <bottom/>
      <diagonal/>
    </border>
    <border>
      <left/>
      <right/>
      <top/>
      <bottom style="thin">
        <color theme="4" tint="-0.499984740745262"/>
      </bottom>
      <diagonal/>
    </border>
    <border>
      <left/>
      <right/>
      <top style="thin">
        <color theme="4" tint="-0.499984740745262"/>
      </top>
      <bottom style="thin">
        <color theme="4" tint="-0.499984740745262"/>
      </bottom>
      <diagonal/>
    </border>
    <border>
      <left/>
      <right/>
      <top/>
      <bottom style="thin">
        <color indexed="64"/>
      </bottom>
      <diagonal/>
    </border>
    <border>
      <left/>
      <right/>
      <top style="thin">
        <color indexed="64"/>
      </top>
      <bottom style="thin">
        <color theme="4" tint="-0.499984740745262"/>
      </bottom>
      <diagonal/>
    </border>
    <border>
      <left style="thin">
        <color theme="0"/>
      </left>
      <right style="thin">
        <color theme="0"/>
      </right>
      <top style="thin">
        <color theme="0"/>
      </top>
      <bottom style="thin">
        <color theme="0"/>
      </bottom>
      <diagonal/>
    </border>
    <border>
      <left/>
      <right/>
      <top style="thin">
        <color theme="1"/>
      </top>
      <bottom style="thin">
        <color theme="4" tint="-0.499984740745262"/>
      </bottom>
      <diagonal/>
    </border>
    <border>
      <left/>
      <right/>
      <top/>
      <bottom style="thin">
        <color theme="1"/>
      </bottom>
      <diagonal/>
    </border>
    <border>
      <left style="thin">
        <color rgb="FFA6A6A6"/>
      </left>
      <right style="thin">
        <color rgb="FFA6A6A6"/>
      </right>
      <top style="thin">
        <color rgb="FFA6A6A6"/>
      </top>
      <bottom style="thin">
        <color rgb="FFA6A6A6"/>
      </bottom>
      <diagonal/>
    </border>
    <border>
      <left style="thin">
        <color rgb="FFA6A6A6"/>
      </left>
      <right style="thin">
        <color rgb="FFA6A6A6"/>
      </right>
      <top style="thin">
        <color rgb="FFA6A6A6"/>
      </top>
      <bottom/>
      <diagonal/>
    </border>
    <border>
      <left style="thin">
        <color rgb="FFA6A6A6"/>
      </left>
      <right style="thin">
        <color rgb="FFA6A6A6"/>
      </right>
      <top style="thin">
        <color rgb="FFA6A6A6"/>
      </top>
      <bottom style="medium">
        <color theme="4" tint="-0.249977111117893"/>
      </bottom>
      <diagonal/>
    </border>
    <border>
      <left style="thin">
        <color rgb="FFA6A6A6"/>
      </left>
      <right style="thin">
        <color rgb="FFA6A6A6"/>
      </right>
      <top style="medium">
        <color theme="4" tint="-0.249977111117893"/>
      </top>
      <bottom style="medium">
        <color theme="4" tint="-0.249977111117893"/>
      </bottom>
      <diagonal/>
    </border>
    <border>
      <left style="thin">
        <color rgb="FFA6A6A6"/>
      </left>
      <right style="thin">
        <color rgb="FFA6A6A6"/>
      </right>
      <top style="medium">
        <color theme="4" tint="-0.249977111117893"/>
      </top>
      <bottom style="thin">
        <color rgb="FFA6A6A6"/>
      </bottom>
      <diagonal/>
    </border>
    <border>
      <left style="thin">
        <color rgb="FFA6A6A6"/>
      </left>
      <right style="thin">
        <color rgb="FFA6A6A6"/>
      </right>
      <top style="medium">
        <color theme="4" tint="-0.249977111117893"/>
      </top>
      <bottom/>
      <diagonal/>
    </border>
    <border>
      <left style="thin">
        <color rgb="FFA6A6A6"/>
      </left>
      <right style="thin">
        <color rgb="FFA6A6A6"/>
      </right>
      <top/>
      <bottom style="medium">
        <color theme="4" tint="-0.249977111117893"/>
      </bottom>
      <diagonal/>
    </border>
    <border>
      <left style="thin">
        <color rgb="FFA6A6A6"/>
      </left>
      <right style="thin">
        <color rgb="FFA6A6A6"/>
      </right>
      <top/>
      <bottom style="thin">
        <color rgb="FFA6A6A6"/>
      </bottom>
      <diagonal/>
    </border>
  </borders>
  <cellStyleXfs count="5">
    <xf numFmtId="0" fontId="0" fillId="0" borderId="0"/>
    <xf numFmtId="9" fontId="4" fillId="0" borderId="0" applyFont="0" applyFill="0" applyBorder="0" applyAlignment="0" applyProtection="0"/>
    <xf numFmtId="0" fontId="16" fillId="5" borderId="8" applyNumberFormat="0">
      <alignment horizontal="right" vertical="center" indent="1"/>
    </xf>
    <xf numFmtId="0" fontId="18" fillId="6" borderId="8">
      <alignment horizontal="center" vertical="center" wrapText="1"/>
    </xf>
    <xf numFmtId="0" fontId="16" fillId="7" borderId="8" applyNumberFormat="0">
      <alignment horizontal="right" vertical="center" indent="1"/>
    </xf>
  </cellStyleXfs>
  <cellXfs count="201">
    <xf numFmtId="0" fontId="0" fillId="0" borderId="0" xfId="0"/>
    <xf numFmtId="0" fontId="2" fillId="0" borderId="0" xfId="0" applyFont="1" applyAlignment="1">
      <alignment horizontal="center"/>
    </xf>
    <xf numFmtId="0" fontId="2" fillId="0" borderId="0" xfId="0" applyFont="1"/>
    <xf numFmtId="3" fontId="2" fillId="0" borderId="0" xfId="0" applyNumberFormat="1" applyFont="1" applyAlignment="1">
      <alignment horizontal="center"/>
    </xf>
    <xf numFmtId="3" fontId="2" fillId="0" borderId="0" xfId="0" applyNumberFormat="1" applyFont="1"/>
    <xf numFmtId="4" fontId="2" fillId="0" borderId="0" xfId="0" applyNumberFormat="1" applyFont="1" applyAlignment="1">
      <alignment horizontal="right"/>
    </xf>
    <xf numFmtId="3" fontId="2" fillId="0" borderId="1" xfId="0" applyNumberFormat="1" applyFont="1" applyBorder="1" applyAlignment="1">
      <alignment horizontal="center"/>
    </xf>
    <xf numFmtId="4" fontId="2" fillId="0" borderId="1" xfId="0" applyNumberFormat="1" applyFont="1" applyBorder="1" applyAlignment="1">
      <alignment horizontal="right"/>
    </xf>
    <xf numFmtId="0" fontId="2" fillId="0" borderId="1" xfId="0" applyFont="1" applyBorder="1" applyAlignment="1">
      <alignment horizontal="center"/>
    </xf>
    <xf numFmtId="3" fontId="0" fillId="0" borderId="0" xfId="0" applyNumberFormat="1"/>
    <xf numFmtId="165" fontId="2" fillId="0" borderId="0" xfId="0" applyNumberFormat="1" applyFont="1" applyAlignment="1">
      <alignment horizontal="center"/>
    </xf>
    <xf numFmtId="9" fontId="0" fillId="0" borderId="0" xfId="1" applyFont="1"/>
    <xf numFmtId="3" fontId="2" fillId="0" borderId="3" xfId="0" applyNumberFormat="1" applyFont="1" applyBorder="1" applyAlignment="1">
      <alignment horizontal="center"/>
    </xf>
    <xf numFmtId="0" fontId="2" fillId="0" borderId="0" xfId="0" applyFont="1" applyAlignment="1">
      <alignment vertical="center"/>
    </xf>
    <xf numFmtId="0" fontId="2" fillId="2" borderId="0" xfId="0" applyFont="1" applyFill="1"/>
    <xf numFmtId="0" fontId="5" fillId="0" borderId="1" xfId="0" applyFont="1" applyBorder="1" applyAlignment="1">
      <alignment horizontal="center" vertical="center"/>
    </xf>
    <xf numFmtId="164" fontId="5" fillId="0" borderId="1" xfId="0" applyNumberFormat="1" applyFont="1" applyBorder="1" applyAlignment="1">
      <alignment horizontal="righ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6" fillId="0" borderId="0" xfId="0" applyFont="1"/>
    <xf numFmtId="0" fontId="5" fillId="0" borderId="0" xfId="0" applyFont="1" applyAlignment="1">
      <alignment vertical="center"/>
    </xf>
    <xf numFmtId="9" fontId="2" fillId="0" borderId="0" xfId="1" applyFont="1"/>
    <xf numFmtId="4" fontId="2" fillId="0" borderId="0" xfId="0" applyNumberFormat="1" applyFont="1"/>
    <xf numFmtId="0" fontId="5" fillId="0" borderId="0" xfId="0" applyFont="1"/>
    <xf numFmtId="3" fontId="1" fillId="0" borderId="0" xfId="0" applyNumberFormat="1" applyFont="1"/>
    <xf numFmtId="4" fontId="1" fillId="0" borderId="0" xfId="0" applyNumberFormat="1" applyFont="1"/>
    <xf numFmtId="4" fontId="1" fillId="0" borderId="0" xfId="0" applyNumberFormat="1" applyFont="1" applyAlignment="1">
      <alignment horizontal="center"/>
    </xf>
    <xf numFmtId="0" fontId="0" fillId="2" borderId="0" xfId="0" applyFill="1"/>
    <xf numFmtId="3" fontId="0" fillId="2" borderId="0" xfId="0" applyNumberFormat="1" applyFill="1"/>
    <xf numFmtId="0" fontId="7" fillId="2" borderId="0" xfId="0" applyFont="1" applyFill="1"/>
    <xf numFmtId="0" fontId="8" fillId="2" borderId="0" xfId="0" applyFont="1" applyFill="1"/>
    <xf numFmtId="0" fontId="8" fillId="2" borderId="0" xfId="0" applyFont="1" applyFill="1" applyAlignment="1">
      <alignment vertical="center"/>
    </xf>
    <xf numFmtId="0" fontId="7" fillId="2" borderId="0" xfId="0" applyFont="1" applyFill="1" applyAlignment="1">
      <alignment horizontal="center" vertical="top" wrapText="1"/>
    </xf>
    <xf numFmtId="0" fontId="8" fillId="2" borderId="0" xfId="0" applyFont="1" applyFill="1" applyAlignment="1">
      <alignment vertical="top" wrapText="1"/>
    </xf>
    <xf numFmtId="0" fontId="12" fillId="4" borderId="0" xfId="0" applyFont="1" applyFill="1" applyAlignment="1">
      <alignment vertical="center" wrapText="1"/>
    </xf>
    <xf numFmtId="0" fontId="7" fillId="4" borderId="0" xfId="0" applyFont="1" applyFill="1" applyAlignment="1">
      <alignment horizontal="center" vertical="top" wrapText="1"/>
    </xf>
    <xf numFmtId="0" fontId="10" fillId="2" borderId="0" xfId="0" applyFont="1" applyFill="1" applyAlignment="1">
      <alignment horizontal="left" vertical="top" wrapText="1"/>
    </xf>
    <xf numFmtId="0" fontId="10" fillId="2" borderId="0" xfId="0" applyFont="1" applyFill="1" applyAlignment="1">
      <alignment vertical="top" wrapText="1"/>
    </xf>
    <xf numFmtId="0" fontId="9" fillId="4" borderId="0" xfId="0" applyFont="1" applyFill="1" applyAlignment="1">
      <alignment horizontal="center" vertical="top"/>
    </xf>
    <xf numFmtId="0" fontId="7" fillId="4" borderId="0" xfId="0" applyFont="1" applyFill="1" applyAlignment="1">
      <alignment horizontal="center" vertical="top"/>
    </xf>
    <xf numFmtId="0" fontId="7" fillId="2" borderId="0" xfId="0" applyFont="1" applyFill="1" applyAlignment="1">
      <alignment horizontal="center" vertical="top"/>
    </xf>
    <xf numFmtId="0" fontId="13" fillId="4" borderId="0" xfId="0" applyFont="1" applyFill="1" applyAlignment="1">
      <alignment horizontal="left" vertical="center" wrapText="1"/>
    </xf>
    <xf numFmtId="0" fontId="13" fillId="4" borderId="0" xfId="0" applyFont="1" applyFill="1" applyAlignment="1">
      <alignment vertical="center" wrapText="1"/>
    </xf>
    <xf numFmtId="0" fontId="13" fillId="4" borderId="0" xfId="0" applyFont="1" applyFill="1" applyAlignment="1">
      <alignment horizontal="left" vertical="center"/>
    </xf>
    <xf numFmtId="0" fontId="13" fillId="4" borderId="0" xfId="0" applyFont="1" applyFill="1" applyAlignment="1">
      <alignment vertical="center"/>
    </xf>
    <xf numFmtId="10" fontId="2" fillId="0" borderId="0" xfId="0" applyNumberFormat="1" applyFont="1"/>
    <xf numFmtId="169" fontId="2" fillId="0" borderId="0" xfId="0" applyNumberFormat="1" applyFont="1"/>
    <xf numFmtId="165" fontId="3" fillId="0" borderId="0" xfId="0" applyNumberFormat="1" applyFont="1" applyFill="1" applyAlignment="1">
      <alignment horizontal="center"/>
    </xf>
    <xf numFmtId="0" fontId="1" fillId="0" borderId="0" xfId="0" applyFont="1" applyFill="1" applyAlignment="1">
      <alignment horizontal="center" vertical="center" wrapText="1"/>
    </xf>
    <xf numFmtId="165" fontId="2" fillId="0" borderId="0" xfId="0" applyNumberFormat="1" applyFont="1" applyFill="1" applyAlignment="1">
      <alignment horizontal="center"/>
    </xf>
    <xf numFmtId="3" fontId="2" fillId="0" borderId="3" xfId="0" applyNumberFormat="1" applyFont="1" applyFill="1" applyBorder="1" applyAlignment="1">
      <alignment horizontal="center"/>
    </xf>
    <xf numFmtId="3" fontId="2" fillId="0" borderId="0" xfId="0" applyNumberFormat="1" applyFont="1" applyFill="1"/>
    <xf numFmtId="3" fontId="1" fillId="0" borderId="0" xfId="0" applyNumberFormat="1" applyFont="1" applyFill="1"/>
    <xf numFmtId="164" fontId="1" fillId="0" borderId="1" xfId="0" applyNumberFormat="1" applyFont="1" applyFill="1" applyBorder="1" applyAlignment="1">
      <alignment horizontal="right" vertical="center"/>
    </xf>
    <xf numFmtId="0" fontId="1" fillId="0" borderId="1" xfId="0" applyFont="1" applyFill="1" applyBorder="1" applyAlignment="1">
      <alignment horizontal="right" vertical="center" wrapText="1"/>
    </xf>
    <xf numFmtId="0" fontId="2" fillId="0" borderId="0" xfId="0" applyFont="1" applyFill="1"/>
    <xf numFmtId="164" fontId="1" fillId="0" borderId="1" xfId="0" applyNumberFormat="1" applyFont="1" applyFill="1" applyBorder="1" applyAlignment="1">
      <alignment horizontal="right" vertical="center" wrapText="1"/>
    </xf>
    <xf numFmtId="9" fontId="2" fillId="0" borderId="0" xfId="1" applyFont="1" applyFill="1"/>
    <xf numFmtId="3" fontId="1" fillId="0" borderId="1" xfId="0" applyNumberFormat="1" applyFont="1" applyFill="1" applyBorder="1" applyAlignment="1">
      <alignment horizontal="right" vertical="center"/>
    </xf>
    <xf numFmtId="0" fontId="1" fillId="0" borderId="1" xfId="0" applyFont="1" applyFill="1" applyBorder="1" applyAlignment="1">
      <alignment horizontal="right" vertical="center"/>
    </xf>
    <xf numFmtId="164" fontId="5" fillId="0" borderId="1" xfId="0" applyNumberFormat="1" applyFont="1" applyFill="1" applyBorder="1" applyAlignment="1">
      <alignment horizontal="right" vertical="center"/>
    </xf>
    <xf numFmtId="0" fontId="5" fillId="0" borderId="0" xfId="0" applyFont="1" applyFill="1"/>
    <xf numFmtId="9" fontId="5" fillId="0" borderId="0" xfId="1" applyFont="1" applyFill="1"/>
    <xf numFmtId="3" fontId="2" fillId="0" borderId="0" xfId="0" applyNumberFormat="1" applyFont="1" applyFill="1" applyAlignment="1">
      <alignment horizontal="right"/>
    </xf>
    <xf numFmtId="3" fontId="3" fillId="0" borderId="0" xfId="0" applyNumberFormat="1" applyFont="1" applyFill="1"/>
    <xf numFmtId="9" fontId="2" fillId="0" borderId="0" xfId="0" applyNumberFormat="1" applyFont="1" applyFill="1"/>
    <xf numFmtId="3" fontId="2" fillId="0" borderId="1" xfId="0" applyNumberFormat="1" applyFont="1" applyFill="1" applyBorder="1" applyAlignment="1">
      <alignment horizontal="right"/>
    </xf>
    <xf numFmtId="3" fontId="2" fillId="0" borderId="1" xfId="0" applyNumberFormat="1" applyFont="1" applyFill="1" applyBorder="1"/>
    <xf numFmtId="3" fontId="3" fillId="0" borderId="1" xfId="0" applyNumberFormat="1" applyFont="1" applyFill="1" applyBorder="1"/>
    <xf numFmtId="9" fontId="2" fillId="0" borderId="1" xfId="0" applyNumberFormat="1" applyFont="1" applyFill="1" applyBorder="1"/>
    <xf numFmtId="0" fontId="0" fillId="0" borderId="0" xfId="0" applyFill="1"/>
    <xf numFmtId="3" fontId="2" fillId="0" borderId="1" xfId="0" applyNumberFormat="1" applyFont="1" applyFill="1" applyBorder="1" applyAlignment="1">
      <alignment horizontal="center"/>
    </xf>
    <xf numFmtId="10" fontId="1" fillId="0" borderId="0" xfId="0" applyNumberFormat="1" applyFont="1" applyFill="1"/>
    <xf numFmtId="10" fontId="14" fillId="0" borderId="0" xfId="0" applyNumberFormat="1" applyFont="1" applyFill="1"/>
    <xf numFmtId="167" fontId="1" fillId="0" borderId="0" xfId="0" applyNumberFormat="1" applyFont="1" applyFill="1"/>
    <xf numFmtId="9" fontId="0" fillId="0" borderId="0" xfId="1" applyFont="1" applyFill="1"/>
    <xf numFmtId="3" fontId="1" fillId="0" borderId="6" xfId="0" applyNumberFormat="1" applyFont="1" applyFill="1" applyBorder="1" applyAlignment="1">
      <alignment horizontal="right" vertical="center" wrapText="1"/>
    </xf>
    <xf numFmtId="0" fontId="2" fillId="0" borderId="7" xfId="0" applyFont="1" applyFill="1" applyBorder="1"/>
    <xf numFmtId="164" fontId="1" fillId="0" borderId="1" xfId="0" applyNumberFormat="1" applyFont="1" applyBorder="1" applyAlignment="1">
      <alignment horizontal="right" vertical="center" wrapText="1"/>
    </xf>
    <xf numFmtId="4" fontId="2" fillId="0" borderId="7" xfId="0" applyNumberFormat="1" applyFont="1" applyBorder="1" applyAlignment="1">
      <alignment horizontal="right"/>
    </xf>
    <xf numFmtId="168" fontId="1" fillId="0" borderId="0" xfId="0" applyNumberFormat="1" applyFont="1" applyAlignment="1">
      <alignment horizontal="center"/>
    </xf>
    <xf numFmtId="168" fontId="1" fillId="0" borderId="0" xfId="0" applyNumberFormat="1" applyFont="1" applyFill="1" applyAlignment="1">
      <alignment horizontal="center"/>
    </xf>
    <xf numFmtId="164" fontId="1" fillId="0" borderId="1" xfId="0" applyNumberFormat="1" applyFont="1" applyBorder="1" applyAlignment="1">
      <alignment horizontal="center" vertical="center" wrapText="1"/>
    </xf>
    <xf numFmtId="164" fontId="5" fillId="0" borderId="7" xfId="0" applyNumberFormat="1" applyFont="1" applyBorder="1" applyAlignment="1">
      <alignment horizontal="center" vertical="center"/>
    </xf>
    <xf numFmtId="4" fontId="2" fillId="0" borderId="0" xfId="0" applyNumberFormat="1" applyFont="1" applyAlignment="1">
      <alignment horizontal="center"/>
    </xf>
    <xf numFmtId="4" fontId="2" fillId="0" borderId="7" xfId="0" applyNumberFormat="1" applyFont="1" applyBorder="1" applyAlignment="1">
      <alignment horizontal="center"/>
    </xf>
    <xf numFmtId="0" fontId="1" fillId="0" borderId="3" xfId="0" applyFont="1" applyFill="1" applyBorder="1" applyAlignment="1">
      <alignment horizontal="center" vertical="center"/>
    </xf>
    <xf numFmtId="170" fontId="2" fillId="0" borderId="0" xfId="0" applyNumberFormat="1" applyFont="1" applyAlignment="1">
      <alignment horizontal="right"/>
    </xf>
    <xf numFmtId="0" fontId="1" fillId="0" borderId="0" xfId="0" applyFont="1" applyAlignment="1">
      <alignment horizontal="center" vertical="center" wrapText="1"/>
    </xf>
    <xf numFmtId="3" fontId="0" fillId="0" borderId="0" xfId="0" applyNumberFormat="1" applyFill="1"/>
    <xf numFmtId="3" fontId="2" fillId="0" borderId="7" xfId="0" applyNumberFormat="1" applyFont="1" applyFill="1" applyBorder="1" applyAlignment="1">
      <alignment horizontal="center"/>
    </xf>
    <xf numFmtId="0" fontId="1" fillId="0" borderId="7" xfId="0" applyFont="1" applyBorder="1" applyAlignment="1">
      <alignment horizontal="center" vertical="center" wrapText="1"/>
    </xf>
    <xf numFmtId="0" fontId="1" fillId="0" borderId="7" xfId="0" applyFont="1" applyFill="1" applyBorder="1" applyAlignment="1">
      <alignment horizontal="center" vertical="center" wrapText="1"/>
    </xf>
    <xf numFmtId="167" fontId="2" fillId="0" borderId="0" xfId="0" applyNumberFormat="1" applyFont="1" applyFill="1"/>
    <xf numFmtId="167" fontId="3" fillId="0" borderId="0" xfId="0" applyNumberFormat="1" applyFont="1" applyFill="1" applyAlignment="1">
      <alignment horizontal="center"/>
    </xf>
    <xf numFmtId="167" fontId="1" fillId="0" borderId="0" xfId="0" applyNumberFormat="1" applyFont="1" applyAlignment="1">
      <alignment horizontal="center"/>
    </xf>
    <xf numFmtId="0" fontId="15" fillId="0" borderId="0" xfId="0" applyFont="1" applyAlignment="1">
      <alignment horizontal="center"/>
    </xf>
    <xf numFmtId="9" fontId="1" fillId="0" borderId="5" xfId="0" applyNumberFormat="1" applyFont="1" applyBorder="1" applyAlignment="1">
      <alignment horizontal="center"/>
    </xf>
    <xf numFmtId="166" fontId="1" fillId="3" borderId="5" xfId="0" applyNumberFormat="1" applyFont="1" applyFill="1" applyBorder="1" applyAlignment="1">
      <alignment horizontal="center"/>
    </xf>
    <xf numFmtId="0" fontId="17" fillId="2" borderId="0" xfId="0" applyFont="1" applyFill="1"/>
    <xf numFmtId="0" fontId="19" fillId="8" borderId="8" xfId="3" applyFont="1" applyFill="1">
      <alignment horizontal="center" vertical="center" wrapText="1"/>
    </xf>
    <xf numFmtId="9" fontId="1" fillId="3" borderId="5" xfId="0" applyNumberFormat="1" applyFont="1" applyFill="1" applyBorder="1" applyAlignment="1">
      <alignment horizontal="center"/>
    </xf>
    <xf numFmtId="10" fontId="1" fillId="3" borderId="5" xfId="0" applyNumberFormat="1" applyFont="1" applyFill="1" applyBorder="1" applyAlignment="1">
      <alignment horizontal="center"/>
    </xf>
    <xf numFmtId="3" fontId="1" fillId="3" borderId="5" xfId="0" applyNumberFormat="1" applyFont="1" applyFill="1" applyBorder="1" applyAlignment="1">
      <alignment horizontal="center"/>
    </xf>
    <xf numFmtId="10" fontId="1" fillId="3" borderId="5" xfId="0" applyNumberFormat="1" applyFont="1" applyFill="1" applyBorder="1" applyAlignment="1">
      <alignment horizontal="center"/>
    </xf>
    <xf numFmtId="0" fontId="0" fillId="0" borderId="0" xfId="0" applyAlignment="1">
      <alignment horizontal="center"/>
    </xf>
    <xf numFmtId="0" fontId="1" fillId="0" borderId="0" xfId="0" applyFont="1" applyAlignment="1">
      <alignment horizontal="center"/>
    </xf>
    <xf numFmtId="0" fontId="1" fillId="0" borderId="0" xfId="0" applyFont="1" applyBorder="1" applyAlignment="1">
      <alignment vertical="center"/>
    </xf>
    <xf numFmtId="0" fontId="0" fillId="0" borderId="0" xfId="0" applyBorder="1"/>
    <xf numFmtId="3" fontId="21" fillId="0" borderId="0" xfId="0" applyNumberFormat="1" applyFont="1"/>
    <xf numFmtId="10" fontId="1" fillId="0" borderId="5" xfId="0" applyNumberFormat="1" applyFont="1" applyFill="1" applyBorder="1" applyAlignment="1">
      <alignment horizontal="center"/>
    </xf>
    <xf numFmtId="4" fontId="2" fillId="0" borderId="0" xfId="0" applyNumberFormat="1" applyFont="1" applyFill="1" applyAlignment="1">
      <alignment horizontal="center"/>
    </xf>
    <xf numFmtId="4" fontId="2" fillId="0" borderId="7" xfId="0" applyNumberFormat="1" applyFont="1" applyFill="1" applyBorder="1" applyAlignment="1">
      <alignment horizontal="center"/>
    </xf>
    <xf numFmtId="10" fontId="2" fillId="0" borderId="0" xfId="0" applyNumberFormat="1" applyFont="1" applyFill="1"/>
    <xf numFmtId="169" fontId="2" fillId="0" borderId="0" xfId="0" applyNumberFormat="1" applyFont="1" applyFill="1"/>
    <xf numFmtId="166" fontId="2" fillId="0" borderId="5" xfId="0" applyNumberFormat="1" applyFont="1" applyFill="1" applyBorder="1" applyAlignment="1">
      <alignment horizontal="center"/>
    </xf>
    <xf numFmtId="0" fontId="2" fillId="0" borderId="0" xfId="0" applyFont="1" applyFill="1" applyAlignment="1">
      <alignment horizontal="center"/>
    </xf>
    <xf numFmtId="3" fontId="2" fillId="0" borderId="0" xfId="0" applyNumberFormat="1" applyFont="1" applyFill="1" applyAlignment="1">
      <alignment horizontal="center"/>
    </xf>
    <xf numFmtId="0" fontId="2" fillId="0" borderId="0" xfId="0" applyFont="1" applyFill="1" applyAlignment="1">
      <alignment vertical="center"/>
    </xf>
    <xf numFmtId="0" fontId="5" fillId="0" borderId="1" xfId="0" applyFont="1" applyFill="1" applyBorder="1" applyAlignment="1">
      <alignment horizontal="center" vertical="center"/>
    </xf>
    <xf numFmtId="0" fontId="2" fillId="0" borderId="1" xfId="0" applyFont="1" applyFill="1" applyBorder="1" applyAlignment="1">
      <alignment horizontal="center"/>
    </xf>
    <xf numFmtId="4" fontId="2" fillId="0" borderId="1" xfId="0" applyNumberFormat="1" applyFont="1" applyFill="1" applyBorder="1" applyAlignment="1">
      <alignment horizontal="right"/>
    </xf>
    <xf numFmtId="0" fontId="0" fillId="0" borderId="0" xfId="0" applyFill="1" applyAlignment="1">
      <alignment horizontal="right"/>
    </xf>
    <xf numFmtId="9" fontId="21" fillId="0" borderId="0" xfId="0" applyNumberFormat="1" applyFont="1"/>
    <xf numFmtId="9" fontId="2" fillId="0" borderId="0" xfId="0" applyNumberFormat="1" applyFont="1"/>
    <xf numFmtId="171" fontId="2" fillId="0" borderId="0" xfId="0" applyNumberFormat="1" applyFont="1"/>
    <xf numFmtId="3" fontId="22" fillId="0" borderId="0" xfId="0" applyNumberFormat="1" applyFont="1"/>
    <xf numFmtId="3" fontId="2" fillId="0" borderId="0" xfId="1" applyNumberFormat="1" applyFont="1" applyFill="1"/>
    <xf numFmtId="0" fontId="6" fillId="0" borderId="0" xfId="0" applyFont="1" applyFill="1"/>
    <xf numFmtId="10" fontId="1" fillId="0" borderId="5" xfId="0" applyNumberFormat="1" applyFont="1" applyBorder="1" applyAlignment="1">
      <alignment horizontal="center"/>
    </xf>
    <xf numFmtId="9" fontId="1" fillId="3" borderId="5" xfId="0" applyNumberFormat="1" applyFont="1" applyFill="1" applyBorder="1" applyAlignment="1">
      <alignment horizontal="center"/>
    </xf>
    <xf numFmtId="3" fontId="1" fillId="3" borderId="5" xfId="0" applyNumberFormat="1" applyFont="1" applyFill="1" applyBorder="1" applyAlignment="1">
      <alignment horizontal="center"/>
    </xf>
    <xf numFmtId="10" fontId="1" fillId="3" borderId="5" xfId="0" applyNumberFormat="1" applyFont="1" applyFill="1" applyBorder="1" applyAlignment="1">
      <alignment horizontal="center"/>
    </xf>
    <xf numFmtId="0" fontId="1" fillId="0" borderId="3" xfId="0" applyFont="1" applyFill="1" applyBorder="1" applyAlignment="1">
      <alignment horizontal="center" vertical="center"/>
    </xf>
    <xf numFmtId="4" fontId="1" fillId="0" borderId="0" xfId="0" applyNumberFormat="1" applyFont="1" applyFill="1"/>
    <xf numFmtId="167" fontId="3" fillId="0" borderId="0" xfId="0" applyNumberFormat="1" applyFont="1" applyAlignment="1">
      <alignment horizontal="center"/>
    </xf>
    <xf numFmtId="3" fontId="2" fillId="0" borderId="7" xfId="0" applyNumberFormat="1" applyFont="1" applyBorder="1" applyAlignment="1">
      <alignment horizontal="center"/>
    </xf>
    <xf numFmtId="172" fontId="1" fillId="3" borderId="5" xfId="0" applyNumberFormat="1" applyFont="1" applyFill="1" applyBorder="1" applyAlignment="1">
      <alignment horizontal="center"/>
    </xf>
    <xf numFmtId="166" fontId="2" fillId="0" borderId="5" xfId="0" applyNumberFormat="1" applyFont="1" applyBorder="1" applyAlignment="1">
      <alignment horizontal="center"/>
    </xf>
    <xf numFmtId="0" fontId="1" fillId="0" borderId="0" xfId="0" applyFont="1" applyAlignment="1">
      <alignment horizontal="center" vertical="top"/>
    </xf>
    <xf numFmtId="49" fontId="2" fillId="0" borderId="0" xfId="0" applyNumberFormat="1" applyFont="1" applyAlignment="1">
      <alignment horizontal="left" indent="2"/>
    </xf>
    <xf numFmtId="49" fontId="2" fillId="0" borderId="0" xfId="0" applyNumberFormat="1" applyFont="1"/>
    <xf numFmtId="164" fontId="5" fillId="0" borderId="1" xfId="0" applyNumberFormat="1" applyFont="1" applyFill="1" applyBorder="1" applyAlignment="1">
      <alignment horizontal="center" vertical="center"/>
    </xf>
    <xf numFmtId="0" fontId="24" fillId="0" borderId="0" xfId="0" applyFont="1" applyBorder="1" applyAlignment="1">
      <alignment vertical="center"/>
    </xf>
    <xf numFmtId="0" fontId="24" fillId="0" borderId="0" xfId="0" applyFont="1" applyFill="1" applyBorder="1" applyAlignment="1">
      <alignment vertical="center"/>
    </xf>
    <xf numFmtId="0" fontId="1" fillId="0" borderId="4" xfId="0" applyFont="1" applyBorder="1" applyAlignment="1">
      <alignment horizontal="center" vertical="center"/>
    </xf>
    <xf numFmtId="0" fontId="1" fillId="0" borderId="4" xfId="0" applyFont="1" applyFill="1" applyBorder="1" applyAlignment="1">
      <alignment horizontal="center" vertical="center"/>
    </xf>
    <xf numFmtId="0" fontId="5" fillId="0" borderId="1" xfId="0" applyFont="1" applyFill="1" applyBorder="1" applyAlignment="1">
      <alignment horizontal="right" vertical="center"/>
    </xf>
    <xf numFmtId="3" fontId="21" fillId="0" borderId="0" xfId="0" applyNumberFormat="1" applyFont="1" applyBorder="1"/>
    <xf numFmtId="164" fontId="5" fillId="0" borderId="0" xfId="0" applyNumberFormat="1" applyFont="1" applyBorder="1" applyAlignment="1">
      <alignment horizontal="right" vertical="center"/>
    </xf>
    <xf numFmtId="0" fontId="8" fillId="4" borderId="0" xfId="0" applyFont="1" applyFill="1"/>
    <xf numFmtId="0" fontId="2" fillId="4" borderId="0" xfId="0" applyFont="1" applyFill="1"/>
    <xf numFmtId="0" fontId="1" fillId="0" borderId="0" xfId="0" applyFont="1" applyFill="1" applyAlignment="1">
      <alignment horizontal="right"/>
    </xf>
    <xf numFmtId="4" fontId="2" fillId="4" borderId="0" xfId="0" applyNumberFormat="1" applyFont="1" applyFill="1" applyAlignment="1">
      <alignment horizontal="center"/>
    </xf>
    <xf numFmtId="165" fontId="3" fillId="4" borderId="0" xfId="0" applyNumberFormat="1" applyFont="1" applyFill="1" applyAlignment="1">
      <alignment horizontal="center"/>
    </xf>
    <xf numFmtId="167" fontId="3" fillId="4" borderId="0" xfId="0" applyNumberFormat="1" applyFont="1" applyFill="1" applyAlignment="1">
      <alignment horizontal="center"/>
    </xf>
    <xf numFmtId="0" fontId="20" fillId="3" borderId="11" xfId="4" applyFont="1" applyFill="1" applyBorder="1" applyAlignment="1">
      <alignment horizontal="center" vertical="center" wrapText="1"/>
    </xf>
    <xf numFmtId="0" fontId="1" fillId="2" borderId="0" xfId="0" applyFont="1" applyFill="1" applyAlignment="1">
      <alignment horizontal="center"/>
    </xf>
    <xf numFmtId="0" fontId="2" fillId="2" borderId="0" xfId="0" applyFont="1" applyFill="1" applyAlignment="1">
      <alignment horizontal="center"/>
    </xf>
    <xf numFmtId="0" fontId="1" fillId="2" borderId="0" xfId="0" applyFont="1" applyFill="1"/>
    <xf numFmtId="0" fontId="1" fillId="0" borderId="2" xfId="0" applyFont="1" applyFill="1" applyBorder="1" applyAlignment="1">
      <alignment horizontal="right" vertical="center"/>
    </xf>
    <xf numFmtId="3" fontId="1" fillId="0" borderId="0" xfId="0" applyNumberFormat="1" applyFont="1" applyFill="1" applyBorder="1" applyAlignment="1">
      <alignment horizontal="right" vertical="center" wrapText="1"/>
    </xf>
    <xf numFmtId="3" fontId="2" fillId="0" borderId="0" xfId="0" applyNumberFormat="1" applyFont="1" applyFill="1" applyBorder="1" applyAlignment="1">
      <alignment horizontal="right"/>
    </xf>
    <xf numFmtId="3" fontId="2" fillId="0" borderId="0" xfId="0" applyNumberFormat="1" applyFont="1" applyBorder="1"/>
    <xf numFmtId="0" fontId="2" fillId="0" borderId="0" xfId="0" applyFont="1" applyBorder="1"/>
    <xf numFmtId="3" fontId="2" fillId="0" borderId="0" xfId="0" applyNumberFormat="1" applyFont="1" applyFill="1" applyBorder="1"/>
    <xf numFmtId="4" fontId="2" fillId="0" borderId="0" xfId="0" applyNumberFormat="1" applyFont="1" applyBorder="1" applyAlignment="1">
      <alignment horizontal="right"/>
    </xf>
    <xf numFmtId="3" fontId="1" fillId="0" borderId="0" xfId="0" applyNumberFormat="1" applyFont="1" applyFill="1" applyBorder="1"/>
    <xf numFmtId="0" fontId="1" fillId="0" borderId="0" xfId="0" applyFont="1" applyFill="1" applyBorder="1" applyAlignment="1">
      <alignment horizontal="right" vertical="center" wrapText="1"/>
    </xf>
    <xf numFmtId="164" fontId="5" fillId="0" borderId="0" xfId="0" applyNumberFormat="1" applyFont="1" applyFill="1" applyBorder="1" applyAlignment="1">
      <alignment horizontal="right" vertical="center"/>
    </xf>
    <xf numFmtId="0" fontId="1" fillId="0" borderId="0" xfId="0" applyFont="1" applyFill="1" applyBorder="1" applyAlignment="1">
      <alignment vertical="center"/>
    </xf>
    <xf numFmtId="3" fontId="1" fillId="0" borderId="6" xfId="0" applyNumberFormat="1" applyFont="1" applyBorder="1" applyAlignment="1">
      <alignment horizontal="right" vertical="center" wrapText="1"/>
    </xf>
    <xf numFmtId="0" fontId="20" fillId="3" borderId="12" xfId="4" applyFont="1" applyFill="1" applyBorder="1" applyAlignment="1">
      <alignment horizontal="center" vertical="center" wrapText="1"/>
    </xf>
    <xf numFmtId="49" fontId="25" fillId="4" borderId="8" xfId="4" applyNumberFormat="1" applyFont="1" applyFill="1" applyAlignment="1">
      <alignment horizontal="left" vertical="center" wrapText="1" indent="1"/>
    </xf>
    <xf numFmtId="49" fontId="25" fillId="4" borderId="9" xfId="4" applyNumberFormat="1" applyFont="1" applyFill="1" applyBorder="1" applyAlignment="1">
      <alignment horizontal="left" vertical="center" wrapText="1" indent="1"/>
    </xf>
    <xf numFmtId="49" fontId="25" fillId="4" borderId="10" xfId="4" applyNumberFormat="1" applyFont="1" applyFill="1" applyBorder="1" applyAlignment="1">
      <alignment horizontal="left" vertical="center" wrapText="1" indent="1"/>
    </xf>
    <xf numFmtId="49" fontId="25" fillId="4" borderId="12" xfId="4" applyNumberFormat="1" applyFont="1" applyFill="1" applyBorder="1" applyAlignment="1">
      <alignment horizontal="left" vertical="center" wrapText="1" indent="1"/>
    </xf>
    <xf numFmtId="49" fontId="25" fillId="4" borderId="11" xfId="4" applyNumberFormat="1" applyFont="1" applyFill="1" applyBorder="1" applyAlignment="1">
      <alignment horizontal="left" vertical="center" wrapText="1" indent="1"/>
    </xf>
    <xf numFmtId="49" fontId="17" fillId="2" borderId="0" xfId="0" applyNumberFormat="1" applyFont="1" applyFill="1" applyAlignment="1">
      <alignment wrapText="1"/>
    </xf>
    <xf numFmtId="49" fontId="19" fillId="8" borderId="8" xfId="3" applyNumberFormat="1" applyFont="1" applyFill="1" applyAlignment="1">
      <alignment horizontal="center" vertical="center" wrapText="1"/>
    </xf>
    <xf numFmtId="49" fontId="25" fillId="4" borderId="8" xfId="4" applyNumberFormat="1" applyFont="1" applyFill="1" applyBorder="1" applyAlignment="1">
      <alignment horizontal="left" vertical="center" wrapText="1" indent="1"/>
    </xf>
    <xf numFmtId="49" fontId="25" fillId="4" borderId="15" xfId="4" applyNumberFormat="1" applyFont="1" applyFill="1" applyBorder="1" applyAlignment="1">
      <alignment horizontal="left" vertical="center" wrapText="1" indent="1"/>
    </xf>
    <xf numFmtId="0" fontId="1" fillId="0" borderId="0" xfId="0" applyFont="1" applyBorder="1" applyAlignment="1">
      <alignment horizontal="center"/>
    </xf>
    <xf numFmtId="0" fontId="1" fillId="0" borderId="3"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xf>
    <xf numFmtId="0" fontId="1" fillId="0" borderId="7" xfId="0" applyFont="1" applyBorder="1" applyAlignment="1">
      <alignment horizontal="center" vertical="center"/>
    </xf>
    <xf numFmtId="0" fontId="1" fillId="0"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xf>
    <xf numFmtId="0" fontId="20" fillId="3" borderId="12" xfId="4" applyFont="1" applyFill="1" applyBorder="1" applyAlignment="1">
      <alignment horizontal="center" vertical="center" wrapText="1"/>
    </xf>
    <xf numFmtId="0" fontId="20" fillId="3" borderId="8" xfId="4" applyFont="1" applyFill="1" applyBorder="1" applyAlignment="1">
      <alignment horizontal="center" vertical="center" wrapText="1"/>
    </xf>
    <xf numFmtId="0" fontId="20" fillId="3" borderId="10" xfId="4" applyFont="1" applyFill="1" applyBorder="1" applyAlignment="1">
      <alignment horizontal="center" vertical="center" wrapText="1"/>
    </xf>
    <xf numFmtId="0" fontId="20" fillId="3" borderId="15" xfId="4" applyFont="1" applyFill="1" applyBorder="1" applyAlignment="1">
      <alignment horizontal="center" vertical="center" wrapText="1"/>
    </xf>
    <xf numFmtId="0" fontId="20" fillId="3" borderId="13" xfId="4" applyFont="1" applyFill="1" applyBorder="1" applyAlignment="1">
      <alignment horizontal="center" vertical="center" wrapText="1"/>
    </xf>
    <xf numFmtId="0" fontId="20" fillId="3" borderId="14" xfId="4" applyFont="1" applyFill="1" applyBorder="1" applyAlignment="1">
      <alignment horizontal="center" vertical="center" wrapText="1"/>
    </xf>
    <xf numFmtId="0" fontId="20" fillId="3" borderId="9" xfId="4" applyFont="1" applyFill="1" applyBorder="1" applyAlignment="1">
      <alignment horizontal="center" vertical="center" wrapText="1"/>
    </xf>
    <xf numFmtId="0" fontId="20" fillId="3" borderId="8" xfId="4" applyFont="1" applyFill="1" applyAlignment="1">
      <alignment horizontal="center" vertical="center" wrapText="1"/>
    </xf>
    <xf numFmtId="0" fontId="7" fillId="2" borderId="0" xfId="0" applyFont="1" applyFill="1" applyAlignment="1">
      <alignment horizontal="center" vertical="top" wrapText="1"/>
    </xf>
    <xf numFmtId="0" fontId="10" fillId="2" borderId="0" xfId="0" applyFont="1" applyFill="1" applyAlignment="1">
      <alignment horizontal="left" vertical="top" wrapText="1"/>
    </xf>
  </cellXfs>
  <cellStyles count="5">
    <cellStyle name="Normal" xfId="0" builtinId="0"/>
    <cellStyle name="Percent" xfId="1" builtinId="5"/>
    <cellStyle name="SF_DATA_CELL" xfId="2" xr:uid="{B019F9BB-0BF9-46AA-BFC8-D66A580DD7C2}"/>
    <cellStyle name="SF_DATA_CELL_IGNORE" xfId="4" xr:uid="{94B15E38-3DF7-4599-8586-0510C3C7696F}"/>
    <cellStyle name="SF_TABLE_HEADER" xfId="3" xr:uid="{BBDD8F18-EA89-41BE-88CB-A5F7958607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567482316452425"/>
        </c:manualLayout>
      </c:layout>
      <c:scatterChart>
        <c:scatterStyle val="lineMarker"/>
        <c:varyColors val="0"/>
        <c:ser>
          <c:idx val="0"/>
          <c:order val="0"/>
          <c:tx>
            <c:v>PAA</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'2 years'!$C$97:$C$104</c:f>
              <c:numCache>
                <c:formatCode>#,##0</c:formatCode>
                <c:ptCount val="8"/>
                <c:pt idx="0">
                  <c:v>1</c:v>
                </c:pt>
                <c:pt idx="1">
                  <c:v>2</c:v>
                </c:pt>
                <c:pt idx="2">
                  <c:v>3</c:v>
                </c:pt>
                <c:pt idx="3">
                  <c:v>4</c:v>
                </c:pt>
                <c:pt idx="4">
                  <c:v>5</c:v>
                </c:pt>
                <c:pt idx="5">
                  <c:v>6</c:v>
                </c:pt>
                <c:pt idx="6">
                  <c:v>7</c:v>
                </c:pt>
                <c:pt idx="7">
                  <c:v>8</c:v>
                </c:pt>
              </c:numCache>
            </c:numRef>
          </c:xVal>
          <c:yVal>
            <c:numRef>
              <c:f>'2 years'!$Y$116:$Y$123</c:f>
              <c:numCache>
                <c:formatCode>#,##0</c:formatCode>
                <c:ptCount val="8"/>
                <c:pt idx="0">
                  <c:v>-1025215.8213370019</c:v>
                </c:pt>
                <c:pt idx="1">
                  <c:v>-1149724.7052714005</c:v>
                </c:pt>
                <c:pt idx="2">
                  <c:v>-1273336.3282227186</c:v>
                </c:pt>
                <c:pt idx="3">
                  <c:v>-1395882.3901788548</c:v>
                </c:pt>
                <c:pt idx="4">
                  <c:v>-1517214.8417766569</c:v>
                </c:pt>
                <c:pt idx="5">
                  <c:v>-1637204.2362334155</c:v>
                </c:pt>
                <c:pt idx="6">
                  <c:v>-1788864.9067419777</c:v>
                </c:pt>
                <c:pt idx="7">
                  <c:v>-1872720.0000000019</c:v>
                </c:pt>
              </c:numCache>
            </c:numRef>
          </c:yVal>
          <c:smooth val="0"/>
          <c:extLst>
            <c:ext xmlns:c16="http://schemas.microsoft.com/office/drawing/2014/chart" uri="{C3380CC4-5D6E-409C-BE32-E72D297353CC}">
              <c16:uniqueId val="{00000000-8F30-4171-B0C7-2806CB841180}"/>
            </c:ext>
          </c:extLst>
        </c:ser>
        <c:ser>
          <c:idx val="1"/>
          <c:order val="1"/>
          <c:tx>
            <c:v>GMM</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'2 years'!$C$97:$C$104</c:f>
              <c:numCache>
                <c:formatCode>#,##0</c:formatCode>
                <c:ptCount val="8"/>
                <c:pt idx="0">
                  <c:v>1</c:v>
                </c:pt>
                <c:pt idx="1">
                  <c:v>2</c:v>
                </c:pt>
                <c:pt idx="2">
                  <c:v>3</c:v>
                </c:pt>
                <c:pt idx="3">
                  <c:v>4</c:v>
                </c:pt>
                <c:pt idx="4">
                  <c:v>5</c:v>
                </c:pt>
                <c:pt idx="5">
                  <c:v>6</c:v>
                </c:pt>
                <c:pt idx="6">
                  <c:v>7</c:v>
                </c:pt>
                <c:pt idx="7">
                  <c:v>8</c:v>
                </c:pt>
              </c:numCache>
            </c:numRef>
          </c:xVal>
          <c:yVal>
            <c:numRef>
              <c:f>'2 years'!$AA$116:$AA$123</c:f>
              <c:numCache>
                <c:formatCode>#,##0</c:formatCode>
                <c:ptCount val="8"/>
                <c:pt idx="0">
                  <c:v>771325.51</c:v>
                </c:pt>
                <c:pt idx="1">
                  <c:v>647653.61</c:v>
                </c:pt>
                <c:pt idx="2">
                  <c:v>528785.18999999994</c:v>
                </c:pt>
                <c:pt idx="3">
                  <c:v>414528.06</c:v>
                </c:pt>
                <c:pt idx="4">
                  <c:v>304696.71999999997</c:v>
                </c:pt>
                <c:pt idx="5">
                  <c:v>199112.26</c:v>
                </c:pt>
                <c:pt idx="6">
                  <c:v>150233</c:v>
                </c:pt>
                <c:pt idx="7">
                  <c:v>0</c:v>
                </c:pt>
              </c:numCache>
            </c:numRef>
          </c:yVal>
          <c:smooth val="0"/>
          <c:extLst>
            <c:ext xmlns:c16="http://schemas.microsoft.com/office/drawing/2014/chart" uri="{C3380CC4-5D6E-409C-BE32-E72D297353CC}">
              <c16:uniqueId val="{00000001-8F30-4171-B0C7-2806CB841180}"/>
            </c:ext>
          </c:extLst>
        </c:ser>
        <c:dLbls>
          <c:showLegendKey val="0"/>
          <c:showVal val="0"/>
          <c:showCatName val="0"/>
          <c:showSerName val="0"/>
          <c:showPercent val="0"/>
          <c:showBubbleSize val="0"/>
        </c:dLbls>
        <c:axId val="98179264"/>
        <c:axId val="98179840"/>
      </c:scatterChart>
      <c:valAx>
        <c:axId val="9817926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840"/>
        <c:crosses val="autoZero"/>
        <c:crossBetween val="midCat"/>
      </c:valAx>
      <c:valAx>
        <c:axId val="98179840"/>
        <c:scaling>
          <c:orientation val="minMax"/>
        </c:scaling>
        <c:delete val="0"/>
        <c:axPos val="l"/>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264"/>
        <c:crosses val="autoZero"/>
        <c:crossBetween val="midCat"/>
      </c:valAx>
      <c:spPr>
        <a:noFill/>
        <a:ln>
          <a:noFill/>
        </a:ln>
        <a:effectLst/>
      </c:spPr>
    </c:plotArea>
    <c:legend>
      <c:legendPos val="r"/>
      <c:layout>
        <c:manualLayout>
          <c:xMode val="edge"/>
          <c:yMode val="edge"/>
          <c:x val="0.82913085410310383"/>
          <c:y val="0.79374612651368004"/>
          <c:w val="0.10616166152927528"/>
          <c:h val="8.929634658885657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4698276440068021"/>
        </c:manualLayout>
      </c:layout>
      <c:scatterChart>
        <c:scatterStyle val="lineMarker"/>
        <c:varyColors val="0"/>
        <c:ser>
          <c:idx val="0"/>
          <c:order val="0"/>
          <c:tx>
            <c:v>CU distrib.</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'2 years'!$C$40:$C$47</c:f>
              <c:numCache>
                <c:formatCode>#,##0</c:formatCode>
                <c:ptCount val="8"/>
                <c:pt idx="0">
                  <c:v>1</c:v>
                </c:pt>
                <c:pt idx="1">
                  <c:v>2</c:v>
                </c:pt>
                <c:pt idx="2">
                  <c:v>3</c:v>
                </c:pt>
                <c:pt idx="3">
                  <c:v>4</c:v>
                </c:pt>
                <c:pt idx="4">
                  <c:v>5</c:v>
                </c:pt>
                <c:pt idx="5">
                  <c:v>6</c:v>
                </c:pt>
                <c:pt idx="6">
                  <c:v>7</c:v>
                </c:pt>
                <c:pt idx="7">
                  <c:v>8</c:v>
                </c:pt>
              </c:numCache>
            </c:numRef>
          </c:xVal>
          <c:yVal>
            <c:numRef>
              <c:f>'2 years'!$K$40:$K$47</c:f>
              <c:numCache>
                <c:formatCode>0.0%</c:formatCode>
                <c:ptCount val="8"/>
                <c:pt idx="0">
                  <c:v>0.125</c:v>
                </c:pt>
                <c:pt idx="1">
                  <c:v>0.125</c:v>
                </c:pt>
                <c:pt idx="2">
                  <c:v>0.125</c:v>
                </c:pt>
                <c:pt idx="3">
                  <c:v>0.125</c:v>
                </c:pt>
                <c:pt idx="4">
                  <c:v>0.125</c:v>
                </c:pt>
                <c:pt idx="5">
                  <c:v>0.125</c:v>
                </c:pt>
                <c:pt idx="6">
                  <c:v>0.125</c:v>
                </c:pt>
                <c:pt idx="7">
                  <c:v>0.125</c:v>
                </c:pt>
              </c:numCache>
            </c:numRef>
          </c:yVal>
          <c:smooth val="0"/>
          <c:extLst>
            <c:ext xmlns:c16="http://schemas.microsoft.com/office/drawing/2014/chart" uri="{C3380CC4-5D6E-409C-BE32-E72D297353CC}">
              <c16:uniqueId val="{00000000-748B-4B0E-B424-F747DCDBBF15}"/>
            </c:ext>
          </c:extLst>
        </c:ser>
        <c:ser>
          <c:idx val="1"/>
          <c:order val="1"/>
          <c:tx>
            <c:v>Risk distrib.</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'2 years'!$C$40:$C$47</c:f>
              <c:numCache>
                <c:formatCode>#,##0</c:formatCode>
                <c:ptCount val="8"/>
                <c:pt idx="0">
                  <c:v>1</c:v>
                </c:pt>
                <c:pt idx="1">
                  <c:v>2</c:v>
                </c:pt>
                <c:pt idx="2">
                  <c:v>3</c:v>
                </c:pt>
                <c:pt idx="3">
                  <c:v>4</c:v>
                </c:pt>
                <c:pt idx="4">
                  <c:v>5</c:v>
                </c:pt>
                <c:pt idx="5">
                  <c:v>6</c:v>
                </c:pt>
                <c:pt idx="6">
                  <c:v>7</c:v>
                </c:pt>
                <c:pt idx="7">
                  <c:v>8</c:v>
                </c:pt>
              </c:numCache>
            </c:numRef>
          </c:xVal>
          <c:yVal>
            <c:numRef>
              <c:f>'2 years'!$P$40:$P$47</c:f>
              <c:numCache>
                <c:formatCode>0.0%</c:formatCode>
                <c:ptCount val="8"/>
                <c:pt idx="0">
                  <c:v>0.125</c:v>
                </c:pt>
                <c:pt idx="1">
                  <c:v>0.125</c:v>
                </c:pt>
                <c:pt idx="2">
                  <c:v>0.125</c:v>
                </c:pt>
                <c:pt idx="3">
                  <c:v>0.125</c:v>
                </c:pt>
                <c:pt idx="4">
                  <c:v>0.125</c:v>
                </c:pt>
                <c:pt idx="5">
                  <c:v>0.125</c:v>
                </c:pt>
                <c:pt idx="6">
                  <c:v>0.125</c:v>
                </c:pt>
                <c:pt idx="7">
                  <c:v>0.125</c:v>
                </c:pt>
              </c:numCache>
            </c:numRef>
          </c:yVal>
          <c:smooth val="0"/>
          <c:extLst>
            <c:ext xmlns:c16="http://schemas.microsoft.com/office/drawing/2014/chart" uri="{C3380CC4-5D6E-409C-BE32-E72D297353CC}">
              <c16:uniqueId val="{00000001-748B-4B0E-B424-F747DCDBBF15}"/>
            </c:ext>
          </c:extLst>
        </c:ser>
        <c:dLbls>
          <c:showLegendKey val="0"/>
          <c:showVal val="0"/>
          <c:showCatName val="0"/>
          <c:showSerName val="0"/>
          <c:showPercent val="0"/>
          <c:showBubbleSize val="0"/>
        </c:dLbls>
        <c:axId val="99115584"/>
        <c:axId val="99116160"/>
      </c:scatterChart>
      <c:valAx>
        <c:axId val="9911558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6160"/>
        <c:crosses val="autoZero"/>
        <c:crossBetween val="midCat"/>
      </c:valAx>
      <c:valAx>
        <c:axId val="99116160"/>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5584"/>
        <c:crosses val="autoZero"/>
        <c:crossBetween val="midCat"/>
      </c:valAx>
      <c:spPr>
        <a:noFill/>
        <a:ln>
          <a:noFill/>
        </a:ln>
        <a:effectLst/>
      </c:spPr>
    </c:plotArea>
    <c:legend>
      <c:legendPos val="r"/>
      <c:layout>
        <c:manualLayout>
          <c:xMode val="edge"/>
          <c:yMode val="edge"/>
          <c:x val="0.75027220080622958"/>
          <c:y val="0.75109607166872738"/>
          <c:w val="0.1796522130337842"/>
          <c:h val="0.1200008062989868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567482316452425"/>
        </c:manualLayout>
      </c:layout>
      <c:scatterChart>
        <c:scatterStyle val="lineMarker"/>
        <c:varyColors val="0"/>
        <c:ser>
          <c:idx val="0"/>
          <c:order val="0"/>
          <c:tx>
            <c:v>PAA</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'3 years'!$C$109:$C$120</c:f>
              <c:numCache>
                <c:formatCode>#,##0</c:formatCode>
                <c:ptCount val="12"/>
                <c:pt idx="0">
                  <c:v>1</c:v>
                </c:pt>
                <c:pt idx="1">
                  <c:v>2</c:v>
                </c:pt>
                <c:pt idx="2">
                  <c:v>3</c:v>
                </c:pt>
                <c:pt idx="3">
                  <c:v>4</c:v>
                </c:pt>
                <c:pt idx="4">
                  <c:v>5</c:v>
                </c:pt>
                <c:pt idx="5">
                  <c:v>6</c:v>
                </c:pt>
                <c:pt idx="6">
                  <c:v>7</c:v>
                </c:pt>
                <c:pt idx="7">
                  <c:v>8</c:v>
                </c:pt>
                <c:pt idx="8">
                  <c:v>9</c:v>
                </c:pt>
                <c:pt idx="9">
                  <c:v>10</c:v>
                </c:pt>
                <c:pt idx="10">
                  <c:v>11</c:v>
                </c:pt>
                <c:pt idx="11">
                  <c:v>12</c:v>
                </c:pt>
              </c:numCache>
            </c:numRef>
          </c:xVal>
          <c:yVal>
            <c:numRef>
              <c:f>'3 years'!$Y$132:$Y$143</c:f>
              <c:numCache>
                <c:formatCode>#,##0</c:formatCode>
                <c:ptCount val="12"/>
                <c:pt idx="0">
                  <c:v>1837424.7969941003</c:v>
                </c:pt>
                <c:pt idx="1">
                  <c:v>1484117.1408480587</c:v>
                </c:pt>
                <c:pt idx="2">
                  <c:v>1050135.0104363784</c:v>
                </c:pt>
                <c:pt idx="3">
                  <c:v>544709.25467455317</c:v>
                </c:pt>
                <c:pt idx="4">
                  <c:v>2277527.6439059619</c:v>
                </c:pt>
                <c:pt idx="5">
                  <c:v>1554476.9140447183</c:v>
                </c:pt>
                <c:pt idx="6">
                  <c:v>652766.66758624977</c:v>
                </c:pt>
                <c:pt idx="7">
                  <c:v>-382839.93049835786</c:v>
                </c:pt>
                <c:pt idx="8">
                  <c:v>1007103.5411578557</c:v>
                </c:pt>
                <c:pt idx="9">
                  <c:v>1646.5360440959339</c:v>
                </c:pt>
                <c:pt idx="10">
                  <c:v>-970396.77625041758</c:v>
                </c:pt>
                <c:pt idx="11">
                  <c:v>-1910174.400000002</c:v>
                </c:pt>
              </c:numCache>
            </c:numRef>
          </c:yVal>
          <c:smooth val="0"/>
          <c:extLst>
            <c:ext xmlns:c16="http://schemas.microsoft.com/office/drawing/2014/chart" uri="{C3380CC4-5D6E-409C-BE32-E72D297353CC}">
              <c16:uniqueId val="{00000000-2BFD-4A5E-9013-3D01D61CC4C7}"/>
            </c:ext>
          </c:extLst>
        </c:ser>
        <c:ser>
          <c:idx val="1"/>
          <c:order val="1"/>
          <c:tx>
            <c:v>GMM</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'3 years'!$C$109:$C$120</c:f>
              <c:numCache>
                <c:formatCode>#,##0</c:formatCode>
                <c:ptCount val="12"/>
                <c:pt idx="0">
                  <c:v>1</c:v>
                </c:pt>
                <c:pt idx="1">
                  <c:v>2</c:v>
                </c:pt>
                <c:pt idx="2">
                  <c:v>3</c:v>
                </c:pt>
                <c:pt idx="3">
                  <c:v>4</c:v>
                </c:pt>
                <c:pt idx="4">
                  <c:v>5</c:v>
                </c:pt>
                <c:pt idx="5">
                  <c:v>6</c:v>
                </c:pt>
                <c:pt idx="6">
                  <c:v>7</c:v>
                </c:pt>
                <c:pt idx="7">
                  <c:v>8</c:v>
                </c:pt>
                <c:pt idx="8">
                  <c:v>9</c:v>
                </c:pt>
                <c:pt idx="9">
                  <c:v>10</c:v>
                </c:pt>
                <c:pt idx="10">
                  <c:v>11</c:v>
                </c:pt>
                <c:pt idx="11">
                  <c:v>12</c:v>
                </c:pt>
              </c:numCache>
            </c:numRef>
          </c:xVal>
          <c:yVal>
            <c:numRef>
              <c:f>'3 years'!$AA$132:$AA$143</c:f>
              <c:numCache>
                <c:formatCode>#,##0</c:formatCode>
                <c:ptCount val="12"/>
                <c:pt idx="0">
                  <c:v>3178802.63</c:v>
                </c:pt>
                <c:pt idx="1">
                  <c:v>2483442.92</c:v>
                </c:pt>
                <c:pt idx="2">
                  <c:v>1812728.83</c:v>
                </c:pt>
                <c:pt idx="3">
                  <c:v>1165534.69</c:v>
                </c:pt>
                <c:pt idx="4">
                  <c:v>2842020.73</c:v>
                </c:pt>
                <c:pt idx="5">
                  <c:v>2139314.96</c:v>
                </c:pt>
                <c:pt idx="6">
                  <c:v>1361587.15</c:v>
                </c:pt>
                <c:pt idx="7">
                  <c:v>580605.93000000005</c:v>
                </c:pt>
                <c:pt idx="8">
                  <c:v>2214228.84</c:v>
                </c:pt>
                <c:pt idx="9">
                  <c:v>1447712.02</c:v>
                </c:pt>
                <c:pt idx="10">
                  <c:v>709981.84</c:v>
                </c:pt>
                <c:pt idx="11">
                  <c:v>0</c:v>
                </c:pt>
              </c:numCache>
            </c:numRef>
          </c:yVal>
          <c:smooth val="0"/>
          <c:extLst>
            <c:ext xmlns:c16="http://schemas.microsoft.com/office/drawing/2014/chart" uri="{C3380CC4-5D6E-409C-BE32-E72D297353CC}">
              <c16:uniqueId val="{00000001-2BFD-4A5E-9013-3D01D61CC4C7}"/>
            </c:ext>
          </c:extLst>
        </c:ser>
        <c:dLbls>
          <c:showLegendKey val="0"/>
          <c:showVal val="0"/>
          <c:showCatName val="0"/>
          <c:showSerName val="0"/>
          <c:showPercent val="0"/>
          <c:showBubbleSize val="0"/>
        </c:dLbls>
        <c:axId val="98179264"/>
        <c:axId val="98179840"/>
      </c:scatterChart>
      <c:valAx>
        <c:axId val="9817926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840"/>
        <c:crosses val="autoZero"/>
        <c:crossBetween val="midCat"/>
      </c:valAx>
      <c:valAx>
        <c:axId val="98179840"/>
        <c:scaling>
          <c:orientation val="minMax"/>
        </c:scaling>
        <c:delete val="0"/>
        <c:axPos val="l"/>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264"/>
        <c:crosses val="autoZero"/>
        <c:crossBetween val="midCat"/>
      </c:valAx>
      <c:spPr>
        <a:noFill/>
        <a:ln>
          <a:noFill/>
        </a:ln>
        <a:effectLst/>
      </c:spPr>
    </c:plotArea>
    <c:legend>
      <c:legendPos val="r"/>
      <c:layout>
        <c:manualLayout>
          <c:xMode val="edge"/>
          <c:yMode val="edge"/>
          <c:x val="0.83256735200710663"/>
          <c:y val="0.79649672351242129"/>
          <c:w val="0.1038748511360426"/>
          <c:h val="8.961441765409966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4698276440068021"/>
        </c:manualLayout>
      </c:layout>
      <c:scatterChart>
        <c:scatterStyle val="lineMarker"/>
        <c:varyColors val="0"/>
        <c:ser>
          <c:idx val="0"/>
          <c:order val="0"/>
          <c:tx>
            <c:v>CU distrib.</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'3 years'!$C$40:$C$51</c:f>
              <c:numCache>
                <c:formatCode>#,##0</c:formatCode>
                <c:ptCount val="12"/>
                <c:pt idx="0">
                  <c:v>1</c:v>
                </c:pt>
                <c:pt idx="1">
                  <c:v>2</c:v>
                </c:pt>
                <c:pt idx="2">
                  <c:v>3</c:v>
                </c:pt>
                <c:pt idx="3">
                  <c:v>4</c:v>
                </c:pt>
                <c:pt idx="4">
                  <c:v>5</c:v>
                </c:pt>
                <c:pt idx="5">
                  <c:v>6</c:v>
                </c:pt>
                <c:pt idx="6">
                  <c:v>7</c:v>
                </c:pt>
                <c:pt idx="7">
                  <c:v>8</c:v>
                </c:pt>
                <c:pt idx="8">
                  <c:v>9</c:v>
                </c:pt>
                <c:pt idx="9">
                  <c:v>10</c:v>
                </c:pt>
                <c:pt idx="10">
                  <c:v>11</c:v>
                </c:pt>
                <c:pt idx="11">
                  <c:v>12</c:v>
                </c:pt>
              </c:numCache>
            </c:numRef>
          </c:xVal>
          <c:yVal>
            <c:numRef>
              <c:f>'3 years'!$K$40:$K$51</c:f>
              <c:numCache>
                <c:formatCode>0.0%</c:formatCode>
                <c:ptCount val="12"/>
                <c:pt idx="0">
                  <c:v>8.3333333333333329E-2</c:v>
                </c:pt>
                <c:pt idx="1">
                  <c:v>8.3333333333333329E-2</c:v>
                </c:pt>
                <c:pt idx="2">
                  <c:v>8.3333333333333329E-2</c:v>
                </c:pt>
                <c:pt idx="3">
                  <c:v>8.3333333333333329E-2</c:v>
                </c:pt>
                <c:pt idx="4">
                  <c:v>8.3333333333333329E-2</c:v>
                </c:pt>
                <c:pt idx="5">
                  <c:v>8.3333333333333329E-2</c:v>
                </c:pt>
                <c:pt idx="6">
                  <c:v>8.3333333333333329E-2</c:v>
                </c:pt>
                <c:pt idx="7">
                  <c:v>8.3333333333333329E-2</c:v>
                </c:pt>
                <c:pt idx="8">
                  <c:v>8.3333333333333329E-2</c:v>
                </c:pt>
                <c:pt idx="9">
                  <c:v>8.3333333333333329E-2</c:v>
                </c:pt>
                <c:pt idx="10">
                  <c:v>8.3333333333333329E-2</c:v>
                </c:pt>
                <c:pt idx="11">
                  <c:v>8.3333333333333329E-2</c:v>
                </c:pt>
              </c:numCache>
            </c:numRef>
          </c:yVal>
          <c:smooth val="0"/>
          <c:extLst>
            <c:ext xmlns:c16="http://schemas.microsoft.com/office/drawing/2014/chart" uri="{C3380CC4-5D6E-409C-BE32-E72D297353CC}">
              <c16:uniqueId val="{00000000-E80A-42D6-901B-D3AC2B9A07CB}"/>
            </c:ext>
          </c:extLst>
        </c:ser>
        <c:ser>
          <c:idx val="1"/>
          <c:order val="1"/>
          <c:tx>
            <c:v>Risk distrib.</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'3 years'!$C$40:$C$51</c:f>
              <c:numCache>
                <c:formatCode>#,##0</c:formatCode>
                <c:ptCount val="12"/>
                <c:pt idx="0">
                  <c:v>1</c:v>
                </c:pt>
                <c:pt idx="1">
                  <c:v>2</c:v>
                </c:pt>
                <c:pt idx="2">
                  <c:v>3</c:v>
                </c:pt>
                <c:pt idx="3">
                  <c:v>4</c:v>
                </c:pt>
                <c:pt idx="4">
                  <c:v>5</c:v>
                </c:pt>
                <c:pt idx="5">
                  <c:v>6</c:v>
                </c:pt>
                <c:pt idx="6">
                  <c:v>7</c:v>
                </c:pt>
                <c:pt idx="7">
                  <c:v>8</c:v>
                </c:pt>
                <c:pt idx="8">
                  <c:v>9</c:v>
                </c:pt>
                <c:pt idx="9">
                  <c:v>10</c:v>
                </c:pt>
                <c:pt idx="10">
                  <c:v>11</c:v>
                </c:pt>
                <c:pt idx="11">
                  <c:v>12</c:v>
                </c:pt>
              </c:numCache>
            </c:numRef>
          </c:xVal>
          <c:yVal>
            <c:numRef>
              <c:f>'3 years'!$P$40:$P$51</c:f>
              <c:numCache>
                <c:formatCode>0.0%</c:formatCode>
                <c:ptCount val="12"/>
                <c:pt idx="0">
                  <c:v>1.282051282051282E-2</c:v>
                </c:pt>
                <c:pt idx="1">
                  <c:v>2.564102564102564E-2</c:v>
                </c:pt>
                <c:pt idx="2">
                  <c:v>3.8461538461538464E-2</c:v>
                </c:pt>
                <c:pt idx="3">
                  <c:v>5.128205128205128E-2</c:v>
                </c:pt>
                <c:pt idx="4">
                  <c:v>6.4102564102564097E-2</c:v>
                </c:pt>
                <c:pt idx="5">
                  <c:v>7.6923076923076927E-2</c:v>
                </c:pt>
                <c:pt idx="6">
                  <c:v>8.9743589743589744E-2</c:v>
                </c:pt>
                <c:pt idx="7">
                  <c:v>0.10256410256410256</c:v>
                </c:pt>
                <c:pt idx="8">
                  <c:v>0.11538461538461539</c:v>
                </c:pt>
                <c:pt idx="9">
                  <c:v>0.12820512820512819</c:v>
                </c:pt>
                <c:pt idx="10">
                  <c:v>0.14102564102564102</c:v>
                </c:pt>
                <c:pt idx="11">
                  <c:v>0.15384615384615385</c:v>
                </c:pt>
              </c:numCache>
            </c:numRef>
          </c:yVal>
          <c:smooth val="0"/>
          <c:extLst>
            <c:ext xmlns:c16="http://schemas.microsoft.com/office/drawing/2014/chart" uri="{C3380CC4-5D6E-409C-BE32-E72D297353CC}">
              <c16:uniqueId val="{00000001-E80A-42D6-901B-D3AC2B9A07CB}"/>
            </c:ext>
          </c:extLst>
        </c:ser>
        <c:dLbls>
          <c:showLegendKey val="0"/>
          <c:showVal val="0"/>
          <c:showCatName val="0"/>
          <c:showSerName val="0"/>
          <c:showPercent val="0"/>
          <c:showBubbleSize val="0"/>
        </c:dLbls>
        <c:axId val="99115584"/>
        <c:axId val="99116160"/>
      </c:scatterChart>
      <c:valAx>
        <c:axId val="9911558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6160"/>
        <c:crosses val="autoZero"/>
        <c:crossBetween val="midCat"/>
      </c:valAx>
      <c:valAx>
        <c:axId val="99116160"/>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5584"/>
        <c:crosses val="autoZero"/>
        <c:crossBetween val="midCat"/>
      </c:valAx>
      <c:spPr>
        <a:noFill/>
        <a:ln>
          <a:noFill/>
        </a:ln>
        <a:effectLst/>
      </c:spPr>
    </c:plotArea>
    <c:legend>
      <c:legendPos val="r"/>
      <c:layout>
        <c:manualLayout>
          <c:xMode val="edge"/>
          <c:yMode val="edge"/>
          <c:x val="0.75027220080622958"/>
          <c:y val="0.75109607166872738"/>
          <c:w val="0.1796522130337842"/>
          <c:h val="0.1200008062989868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567482316452425"/>
        </c:manualLayout>
      </c:layout>
      <c:scatterChart>
        <c:scatterStyle val="lineMarker"/>
        <c:varyColors val="0"/>
        <c:ser>
          <c:idx val="0"/>
          <c:order val="0"/>
          <c:tx>
            <c:v>PAA</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'4 years'!$C$121:$C$136</c:f>
              <c:numCache>
                <c:formatCode>#,##0</c:formatCode>
                <c:ptCount val="1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numCache>
            </c:numRef>
          </c:xVal>
          <c:yVal>
            <c:numRef>
              <c:f>'4 years'!$Y$148:$Y$163</c:f>
              <c:numCache>
                <c:formatCode>#,##0</c:formatCode>
                <c:ptCount val="16"/>
                <c:pt idx="0">
                  <c:v>-472634.18225413095</c:v>
                </c:pt>
                <c:pt idx="1">
                  <c:v>-1100822.0590801137</c:v>
                </c:pt>
                <c:pt idx="2">
                  <c:v>-710542.56409375311</c:v>
                </c:pt>
                <c:pt idx="3">
                  <c:v>-1267564.4254430397</c:v>
                </c:pt>
                <c:pt idx="4">
                  <c:v>-911621.41212826932</c:v>
                </c:pt>
                <c:pt idx="5">
                  <c:v>-1405544.8166690511</c:v>
                </c:pt>
                <c:pt idx="6">
                  <c:v>-1040170.6343960116</c:v>
                </c:pt>
                <c:pt idx="7">
                  <c:v>-1553898.7068202773</c:v>
                </c:pt>
                <c:pt idx="8">
                  <c:v>-1150392.3701113544</c:v>
                </c:pt>
                <c:pt idx="9">
                  <c:v>-1633436.944200479</c:v>
                </c:pt>
                <c:pt idx="10">
                  <c:v>-1245982.5862728474</c:v>
                </c:pt>
                <c:pt idx="11">
                  <c:v>-1700180.345080232</c:v>
                </c:pt>
                <c:pt idx="12">
                  <c:v>-1328254.9710333152</c:v>
                </c:pt>
                <c:pt idx="13">
                  <c:v>-1755332.4447439793</c:v>
                </c:pt>
                <c:pt idx="14">
                  <c:v>-1398419.8168155176</c:v>
                </c:pt>
                <c:pt idx="15">
                  <c:v>-1799999.9999999981</c:v>
                </c:pt>
              </c:numCache>
            </c:numRef>
          </c:yVal>
          <c:smooth val="0"/>
          <c:extLst>
            <c:ext xmlns:c16="http://schemas.microsoft.com/office/drawing/2014/chart" uri="{C3380CC4-5D6E-409C-BE32-E72D297353CC}">
              <c16:uniqueId val="{00000000-A21E-4D0F-82AA-C73AE107B16D}"/>
            </c:ext>
          </c:extLst>
        </c:ser>
        <c:ser>
          <c:idx val="1"/>
          <c:order val="1"/>
          <c:tx>
            <c:v>GMM</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'4 years'!$C$121:$C$136</c:f>
              <c:numCache>
                <c:formatCode>#,##0</c:formatCode>
                <c:ptCount val="1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numCache>
            </c:numRef>
          </c:xVal>
          <c:yVal>
            <c:numRef>
              <c:f>'4 years'!$AA$148:$AA$163</c:f>
              <c:numCache>
                <c:formatCode>#,##0</c:formatCode>
                <c:ptCount val="16"/>
                <c:pt idx="0">
                  <c:v>1353359.73</c:v>
                </c:pt>
                <c:pt idx="1">
                  <c:v>743446.51</c:v>
                </c:pt>
                <c:pt idx="2">
                  <c:v>1150021.5</c:v>
                </c:pt>
                <c:pt idx="3">
                  <c:v>602777.43999999994</c:v>
                </c:pt>
                <c:pt idx="4">
                  <c:v>967078.85</c:v>
                </c:pt>
                <c:pt idx="5">
                  <c:v>476026.17</c:v>
                </c:pt>
                <c:pt idx="6">
                  <c:v>773451.29</c:v>
                </c:pt>
                <c:pt idx="7">
                  <c:v>270116.23</c:v>
                </c:pt>
                <c:pt idx="8">
                  <c:v>681701.46</c:v>
                </c:pt>
                <c:pt idx="9">
                  <c:v>202320.46</c:v>
                </c:pt>
                <c:pt idx="10">
                  <c:v>591379.62</c:v>
                </c:pt>
                <c:pt idx="11">
                  <c:v>134731.21</c:v>
                </c:pt>
                <c:pt idx="12">
                  <c:v>502380.59</c:v>
                </c:pt>
                <c:pt idx="13">
                  <c:v>67304.42</c:v>
                </c:pt>
                <c:pt idx="14">
                  <c:v>414606.2</c:v>
                </c:pt>
                <c:pt idx="15">
                  <c:v>0</c:v>
                </c:pt>
              </c:numCache>
            </c:numRef>
          </c:yVal>
          <c:smooth val="0"/>
          <c:extLst>
            <c:ext xmlns:c16="http://schemas.microsoft.com/office/drawing/2014/chart" uri="{C3380CC4-5D6E-409C-BE32-E72D297353CC}">
              <c16:uniqueId val="{00000001-A21E-4D0F-82AA-C73AE107B16D}"/>
            </c:ext>
          </c:extLst>
        </c:ser>
        <c:dLbls>
          <c:showLegendKey val="0"/>
          <c:showVal val="0"/>
          <c:showCatName val="0"/>
          <c:showSerName val="0"/>
          <c:showPercent val="0"/>
          <c:showBubbleSize val="0"/>
        </c:dLbls>
        <c:axId val="98179264"/>
        <c:axId val="98179840"/>
      </c:scatterChart>
      <c:valAx>
        <c:axId val="9817926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840"/>
        <c:crosses val="autoZero"/>
        <c:crossBetween val="midCat"/>
      </c:valAx>
      <c:valAx>
        <c:axId val="98179840"/>
        <c:scaling>
          <c:orientation val="minMax"/>
        </c:scaling>
        <c:delete val="0"/>
        <c:axPos val="l"/>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264"/>
        <c:crosses val="autoZero"/>
        <c:crossBetween val="midCat"/>
      </c:valAx>
      <c:spPr>
        <a:noFill/>
        <a:ln>
          <a:noFill/>
        </a:ln>
        <a:effectLst/>
      </c:spPr>
    </c:plotArea>
    <c:legend>
      <c:legendPos val="tr"/>
      <c:layout>
        <c:manualLayout>
          <c:xMode val="edge"/>
          <c:yMode val="edge"/>
          <c:x val="0.83462553466938438"/>
          <c:y val="0.79003993952565676"/>
          <c:w val="0.10408124817261256"/>
          <c:h val="8.826834625043633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4698276440068021"/>
        </c:manualLayout>
      </c:layout>
      <c:scatterChart>
        <c:scatterStyle val="lineMarker"/>
        <c:varyColors val="0"/>
        <c:ser>
          <c:idx val="0"/>
          <c:order val="0"/>
          <c:tx>
            <c:v>CU distrib.</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'4 years'!$C$40:$C$55</c:f>
              <c:numCache>
                <c:formatCode>#,##0</c:formatCode>
                <c:ptCount val="1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numCache>
            </c:numRef>
          </c:xVal>
          <c:yVal>
            <c:numRef>
              <c:f>'4 years'!$K$40:$K$55</c:f>
              <c:numCache>
                <c:formatCode>0.0%</c:formatCode>
                <c:ptCount val="16"/>
                <c:pt idx="0">
                  <c:v>6.25E-2</c:v>
                </c:pt>
                <c:pt idx="1">
                  <c:v>6.25E-2</c:v>
                </c:pt>
                <c:pt idx="2">
                  <c:v>6.25E-2</c:v>
                </c:pt>
                <c:pt idx="3">
                  <c:v>6.25E-2</c:v>
                </c:pt>
                <c:pt idx="4">
                  <c:v>6.25E-2</c:v>
                </c:pt>
                <c:pt idx="5">
                  <c:v>6.25E-2</c:v>
                </c:pt>
                <c:pt idx="6">
                  <c:v>6.25E-2</c:v>
                </c:pt>
                <c:pt idx="7">
                  <c:v>6.25E-2</c:v>
                </c:pt>
                <c:pt idx="8">
                  <c:v>6.25E-2</c:v>
                </c:pt>
                <c:pt idx="9">
                  <c:v>6.25E-2</c:v>
                </c:pt>
                <c:pt idx="10">
                  <c:v>6.25E-2</c:v>
                </c:pt>
                <c:pt idx="11">
                  <c:v>6.25E-2</c:v>
                </c:pt>
                <c:pt idx="12">
                  <c:v>6.25E-2</c:v>
                </c:pt>
                <c:pt idx="13">
                  <c:v>6.25E-2</c:v>
                </c:pt>
                <c:pt idx="14">
                  <c:v>6.25E-2</c:v>
                </c:pt>
                <c:pt idx="15">
                  <c:v>6.25E-2</c:v>
                </c:pt>
              </c:numCache>
            </c:numRef>
          </c:yVal>
          <c:smooth val="0"/>
          <c:extLst>
            <c:ext xmlns:c16="http://schemas.microsoft.com/office/drawing/2014/chart" uri="{C3380CC4-5D6E-409C-BE32-E72D297353CC}">
              <c16:uniqueId val="{00000000-ECA9-43F3-A4CD-609D533DEDCB}"/>
            </c:ext>
          </c:extLst>
        </c:ser>
        <c:ser>
          <c:idx val="1"/>
          <c:order val="1"/>
          <c:tx>
            <c:v>Risk distrib.</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'4 years'!$C$40:$C$55</c:f>
              <c:numCache>
                <c:formatCode>#,##0</c:formatCode>
                <c:ptCount val="1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numCache>
            </c:numRef>
          </c:xVal>
          <c:yVal>
            <c:numRef>
              <c:f>'4 years'!$P$40:$P$55</c:f>
              <c:numCache>
                <c:formatCode>0.0%</c:formatCode>
                <c:ptCount val="16"/>
                <c:pt idx="0">
                  <c:v>6.25E-2</c:v>
                </c:pt>
                <c:pt idx="1">
                  <c:v>6.25E-2</c:v>
                </c:pt>
                <c:pt idx="2">
                  <c:v>6.25E-2</c:v>
                </c:pt>
                <c:pt idx="3">
                  <c:v>6.25E-2</c:v>
                </c:pt>
                <c:pt idx="4">
                  <c:v>6.25E-2</c:v>
                </c:pt>
                <c:pt idx="5">
                  <c:v>6.25E-2</c:v>
                </c:pt>
                <c:pt idx="6">
                  <c:v>6.25E-2</c:v>
                </c:pt>
                <c:pt idx="7">
                  <c:v>6.25E-2</c:v>
                </c:pt>
                <c:pt idx="8">
                  <c:v>6.25E-2</c:v>
                </c:pt>
                <c:pt idx="9">
                  <c:v>6.25E-2</c:v>
                </c:pt>
                <c:pt idx="10">
                  <c:v>6.25E-2</c:v>
                </c:pt>
                <c:pt idx="11">
                  <c:v>6.25E-2</c:v>
                </c:pt>
                <c:pt idx="12">
                  <c:v>6.25E-2</c:v>
                </c:pt>
                <c:pt idx="13">
                  <c:v>6.25E-2</c:v>
                </c:pt>
                <c:pt idx="14">
                  <c:v>6.25E-2</c:v>
                </c:pt>
                <c:pt idx="15">
                  <c:v>6.25E-2</c:v>
                </c:pt>
              </c:numCache>
            </c:numRef>
          </c:yVal>
          <c:smooth val="0"/>
          <c:extLst>
            <c:ext xmlns:c16="http://schemas.microsoft.com/office/drawing/2014/chart" uri="{C3380CC4-5D6E-409C-BE32-E72D297353CC}">
              <c16:uniqueId val="{00000001-ECA9-43F3-A4CD-609D533DEDCB}"/>
            </c:ext>
          </c:extLst>
        </c:ser>
        <c:dLbls>
          <c:showLegendKey val="0"/>
          <c:showVal val="0"/>
          <c:showCatName val="0"/>
          <c:showSerName val="0"/>
          <c:showPercent val="0"/>
          <c:showBubbleSize val="0"/>
        </c:dLbls>
        <c:axId val="99115584"/>
        <c:axId val="99116160"/>
      </c:scatterChart>
      <c:valAx>
        <c:axId val="9911558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6160"/>
        <c:crosses val="autoZero"/>
        <c:crossBetween val="midCat"/>
      </c:valAx>
      <c:valAx>
        <c:axId val="99116160"/>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5584"/>
        <c:crosses val="autoZero"/>
        <c:crossBetween val="midCat"/>
      </c:valAx>
      <c:spPr>
        <a:noFill/>
        <a:ln>
          <a:noFill/>
        </a:ln>
        <a:effectLst/>
      </c:spPr>
    </c:plotArea>
    <c:legend>
      <c:legendPos val="r"/>
      <c:layout>
        <c:manualLayout>
          <c:xMode val="edge"/>
          <c:yMode val="edge"/>
          <c:x val="0.75027220080622958"/>
          <c:y val="0.75109607166872738"/>
          <c:w val="0.1796522130337842"/>
          <c:h val="0.1200008062989868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567482316452425"/>
        </c:manualLayout>
      </c:layout>
      <c:scatterChart>
        <c:scatterStyle val="lineMarker"/>
        <c:varyColors val="0"/>
        <c:ser>
          <c:idx val="0"/>
          <c:order val="0"/>
          <c:tx>
            <c:v>PAA</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'5 years'!$C$133:$C$152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years'!$Y$164:$Y$183</c:f>
              <c:numCache>
                <c:formatCode>#,##0</c:formatCode>
                <c:ptCount val="20"/>
                <c:pt idx="0">
                  <c:v>7122643.7960584071</c:v>
                </c:pt>
                <c:pt idx="1">
                  <c:v>6218739.4768346027</c:v>
                </c:pt>
                <c:pt idx="2">
                  <c:v>5383150.1077908343</c:v>
                </c:pt>
                <c:pt idx="3">
                  <c:v>4611079.741828368</c:v>
                </c:pt>
                <c:pt idx="4">
                  <c:v>3898051.5383534408</c:v>
                </c:pt>
                <c:pt idx="5">
                  <c:v>3239887.2529286463</c:v>
                </c:pt>
                <c:pt idx="6">
                  <c:v>3523713.9137161896</c:v>
                </c:pt>
                <c:pt idx="7">
                  <c:v>2988043.7179518128</c:v>
                </c:pt>
                <c:pt idx="8">
                  <c:v>2473570.7015392017</c:v>
                </c:pt>
                <c:pt idx="9">
                  <c:v>1979533.5754862959</c:v>
                </c:pt>
                <c:pt idx="10">
                  <c:v>1505196.2017303519</c:v>
                </c:pt>
                <c:pt idx="11">
                  <c:v>1049846.7994388824</c:v>
                </c:pt>
                <c:pt idx="12">
                  <c:v>612797.17557727697</c:v>
                </c:pt>
                <c:pt idx="13">
                  <c:v>193381.97901779556</c:v>
                </c:pt>
                <c:pt idx="14">
                  <c:v>-209042.02251407321</c:v>
                </c:pt>
                <c:pt idx="15">
                  <c:v>-595096.64333918679</c:v>
                </c:pt>
                <c:pt idx="16">
                  <c:v>-965382.95923347992</c:v>
                </c:pt>
                <c:pt idx="17">
                  <c:v>-1320481.9659895531</c:v>
                </c:pt>
                <c:pt idx="18">
                  <c:v>-1660955.2177558804</c:v>
                </c:pt>
                <c:pt idx="19">
                  <c:v>-1987345.4457600007</c:v>
                </c:pt>
              </c:numCache>
            </c:numRef>
          </c:yVal>
          <c:smooth val="0"/>
          <c:extLst>
            <c:ext xmlns:c16="http://schemas.microsoft.com/office/drawing/2014/chart" uri="{C3380CC4-5D6E-409C-BE32-E72D297353CC}">
              <c16:uniqueId val="{00000000-3F7A-4629-9F73-9A908A91293B}"/>
            </c:ext>
          </c:extLst>
        </c:ser>
        <c:ser>
          <c:idx val="1"/>
          <c:order val="1"/>
          <c:tx>
            <c:v>GMM</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'5 years'!$C$133:$C$152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years'!$AA$164:$AA$183</c:f>
              <c:numCache>
                <c:formatCode>#,##0</c:formatCode>
                <c:ptCount val="20"/>
                <c:pt idx="0">
                  <c:v>8936684.5899999999</c:v>
                </c:pt>
                <c:pt idx="1">
                  <c:v>8045980.4900000002</c:v>
                </c:pt>
                <c:pt idx="2">
                  <c:v>7222828.8399999999</c:v>
                </c:pt>
                <c:pt idx="3">
                  <c:v>6462506</c:v>
                </c:pt>
                <c:pt idx="4">
                  <c:v>5760602.0199999996</c:v>
                </c:pt>
                <c:pt idx="5">
                  <c:v>5113000.58</c:v>
                </c:pt>
                <c:pt idx="6">
                  <c:v>4604728.1900000004</c:v>
                </c:pt>
                <c:pt idx="7">
                  <c:v>4145570.81</c:v>
                </c:pt>
                <c:pt idx="8">
                  <c:v>3706408.93</c:v>
                </c:pt>
                <c:pt idx="9">
                  <c:v>3286500.54</c:v>
                </c:pt>
                <c:pt idx="10">
                  <c:v>2885128.64</c:v>
                </c:pt>
                <c:pt idx="11">
                  <c:v>2501600.41</c:v>
                </c:pt>
                <c:pt idx="12">
                  <c:v>2135246.44</c:v>
                </c:pt>
                <c:pt idx="13">
                  <c:v>1785420.01</c:v>
                </c:pt>
                <c:pt idx="14">
                  <c:v>1451496.32</c:v>
                </c:pt>
                <c:pt idx="15">
                  <c:v>1132871.81</c:v>
                </c:pt>
                <c:pt idx="16">
                  <c:v>828963.48</c:v>
                </c:pt>
                <c:pt idx="17">
                  <c:v>539208.19999999995</c:v>
                </c:pt>
                <c:pt idx="18">
                  <c:v>263062.12</c:v>
                </c:pt>
                <c:pt idx="19">
                  <c:v>0</c:v>
                </c:pt>
              </c:numCache>
            </c:numRef>
          </c:yVal>
          <c:smooth val="0"/>
          <c:extLst>
            <c:ext xmlns:c16="http://schemas.microsoft.com/office/drawing/2014/chart" uri="{C3380CC4-5D6E-409C-BE32-E72D297353CC}">
              <c16:uniqueId val="{00000001-3F7A-4629-9F73-9A908A91293B}"/>
            </c:ext>
          </c:extLst>
        </c:ser>
        <c:dLbls>
          <c:showLegendKey val="0"/>
          <c:showVal val="0"/>
          <c:showCatName val="0"/>
          <c:showSerName val="0"/>
          <c:showPercent val="0"/>
          <c:showBubbleSize val="0"/>
        </c:dLbls>
        <c:axId val="98179264"/>
        <c:axId val="98179840"/>
      </c:scatterChart>
      <c:valAx>
        <c:axId val="9817926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840"/>
        <c:crosses val="autoZero"/>
        <c:crossBetween val="midCat"/>
      </c:valAx>
      <c:valAx>
        <c:axId val="98179840"/>
        <c:scaling>
          <c:orientation val="minMax"/>
        </c:scaling>
        <c:delete val="0"/>
        <c:axPos val="l"/>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264"/>
        <c:crosses val="autoZero"/>
        <c:crossBetween val="midCat"/>
      </c:valAx>
      <c:spPr>
        <a:noFill/>
        <a:ln>
          <a:noFill/>
        </a:ln>
        <a:effectLst/>
      </c:spPr>
    </c:plotArea>
    <c:legend>
      <c:legendPos val="r"/>
      <c:layout>
        <c:manualLayout>
          <c:xMode val="edge"/>
          <c:yMode val="edge"/>
          <c:x val="0.8286894095625803"/>
          <c:y val="0.78240251979121289"/>
          <c:w val="0.1046142768914532"/>
          <c:h val="9.261350733567309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4698276440068021"/>
        </c:manualLayout>
      </c:layout>
      <c:scatterChart>
        <c:scatterStyle val="lineMarker"/>
        <c:varyColors val="0"/>
        <c:ser>
          <c:idx val="0"/>
          <c:order val="0"/>
          <c:tx>
            <c:v>CU distrib.</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'5 years'!$C$40:$C$59</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years'!$K$40:$K$59</c:f>
              <c:numCache>
                <c:formatCode>0.0%</c:formatCode>
                <c:ptCount val="20"/>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numCache>
            </c:numRef>
          </c:yVal>
          <c:smooth val="0"/>
          <c:extLst>
            <c:ext xmlns:c16="http://schemas.microsoft.com/office/drawing/2014/chart" uri="{C3380CC4-5D6E-409C-BE32-E72D297353CC}">
              <c16:uniqueId val="{00000000-F499-414A-B050-835F5D9C05EF}"/>
            </c:ext>
          </c:extLst>
        </c:ser>
        <c:ser>
          <c:idx val="1"/>
          <c:order val="1"/>
          <c:tx>
            <c:v>Risk distrib.</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'5 years'!$C$40:$C$59</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years'!$P$40:$P$59</c:f>
              <c:numCache>
                <c:formatCode>0.0%</c:formatCode>
                <c:ptCount val="20"/>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numCache>
            </c:numRef>
          </c:yVal>
          <c:smooth val="0"/>
          <c:extLst>
            <c:ext xmlns:c16="http://schemas.microsoft.com/office/drawing/2014/chart" uri="{C3380CC4-5D6E-409C-BE32-E72D297353CC}">
              <c16:uniqueId val="{00000001-F499-414A-B050-835F5D9C05EF}"/>
            </c:ext>
          </c:extLst>
        </c:ser>
        <c:dLbls>
          <c:showLegendKey val="0"/>
          <c:showVal val="0"/>
          <c:showCatName val="0"/>
          <c:showSerName val="0"/>
          <c:showPercent val="0"/>
          <c:showBubbleSize val="0"/>
        </c:dLbls>
        <c:axId val="99115584"/>
        <c:axId val="99116160"/>
      </c:scatterChart>
      <c:valAx>
        <c:axId val="9911558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6160"/>
        <c:crosses val="autoZero"/>
        <c:crossBetween val="midCat"/>
      </c:valAx>
      <c:valAx>
        <c:axId val="99116160"/>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5584"/>
        <c:crosses val="autoZero"/>
        <c:crossBetween val="midCat"/>
      </c:valAx>
      <c:spPr>
        <a:noFill/>
        <a:ln>
          <a:noFill/>
        </a:ln>
        <a:effectLst/>
      </c:spPr>
    </c:plotArea>
    <c:legend>
      <c:legendPos val="r"/>
      <c:layout>
        <c:manualLayout>
          <c:xMode val="edge"/>
          <c:yMode val="edge"/>
          <c:x val="0.75027220080622958"/>
          <c:y val="0.75109607166872738"/>
          <c:w val="0.1796522130337842"/>
          <c:h val="0.1200008062989868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3blocks.co/" TargetMode="Externa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http://www.3blocks.co/" TargetMode="Externa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hyperlink" Target="http://www.3blocks.co/" TargetMode="Externa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hyperlink" Target="http://www.3blocks.co/" TargetMode="External"/></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hyperlink" Target="http://www.3blocks.co/" TargetMode="External"/></Relationships>
</file>

<file path=xl/drawings/_rels/drawing6.xml.rels><?xml version="1.0" encoding="UTF-8" standalone="yes"?>
<Relationships xmlns="http://schemas.openxmlformats.org/package/2006/relationships"><Relationship Id="rId1" Type="http://schemas.openxmlformats.org/officeDocument/2006/relationships/hyperlink" Target="http://www.3blocks.co/" TargetMode="External"/></Relationships>
</file>

<file path=xl/drawings/_rels/drawing7.xml.rels><?xml version="1.0" encoding="UTF-8" standalone="yes"?>
<Relationships xmlns="http://schemas.openxmlformats.org/package/2006/relationships"><Relationship Id="rId1" Type="http://schemas.openxmlformats.org/officeDocument/2006/relationships/hyperlink" Target="http://www.3blocks.co/" TargetMode="External"/></Relationships>
</file>

<file path=xl/drawings/_rels/drawing8.xml.rels><?xml version="1.0" encoding="UTF-8" standalone="yes"?>
<Relationships xmlns="http://schemas.openxmlformats.org/package/2006/relationships"><Relationship Id="rId1" Type="http://schemas.openxmlformats.org/officeDocument/2006/relationships/hyperlink" Target="http://www.3blocks.co/" TargetMode="External"/></Relationships>
</file>

<file path=xl/drawings/_rels/drawing9.xml.rels><?xml version="1.0" encoding="UTF-8" standalone="yes"?>
<Relationships xmlns="http://schemas.openxmlformats.org/package/2006/relationships"><Relationship Id="rId1" Type="http://schemas.openxmlformats.org/officeDocument/2006/relationships/hyperlink" Target="http://www.3blocks.co/" TargetMode="External"/></Relationships>
</file>

<file path=xl/drawings/drawing1.xml><?xml version="1.0" encoding="utf-8"?>
<xdr:wsDr xmlns:xdr="http://schemas.openxmlformats.org/drawingml/2006/spreadsheetDrawing" xmlns:a="http://schemas.openxmlformats.org/drawingml/2006/main">
  <xdr:twoCellAnchor editAs="absolute">
    <xdr:from>
      <xdr:col>1</xdr:col>
      <xdr:colOff>7620</xdr:colOff>
      <xdr:row>0</xdr:row>
      <xdr:rowOff>79106</xdr:rowOff>
    </xdr:from>
    <xdr:to>
      <xdr:col>2</xdr:col>
      <xdr:colOff>426549</xdr:colOff>
      <xdr:row>2</xdr:row>
      <xdr:rowOff>57797</xdr:rowOff>
    </xdr:to>
    <xdr:grpSp>
      <xdr:nvGrpSpPr>
        <xdr:cNvPr id="2" name="Group 1">
          <a:hlinkClick xmlns:r="http://schemas.openxmlformats.org/officeDocument/2006/relationships" r:id="rId1"/>
          <a:extLst>
            <a:ext uri="{FF2B5EF4-FFF2-40B4-BE49-F238E27FC236}">
              <a16:creationId xmlns:a16="http://schemas.microsoft.com/office/drawing/2014/main" id="{00000000-0008-0000-0000-000002000000}"/>
            </a:ext>
          </a:extLst>
        </xdr:cNvPr>
        <xdr:cNvGrpSpPr/>
      </xdr:nvGrpSpPr>
      <xdr:grpSpPr>
        <a:xfrm>
          <a:off x="380153" y="79106"/>
          <a:ext cx="1041229" cy="308891"/>
          <a:chOff x="2292668" y="2740184"/>
          <a:chExt cx="1005208" cy="328666"/>
        </a:xfrm>
        <a:effectLst>
          <a:outerShdw blurRad="50800" dist="50800" dir="5400000" algn="ctr" rotWithShape="0">
            <a:srgbClr val="000000">
              <a:alpha val="0"/>
            </a:srgbClr>
          </a:outerShdw>
        </a:effectLst>
      </xdr:grpSpPr>
      <xdr:sp macro="" textlink="">
        <xdr:nvSpPr>
          <xdr:cNvPr id="3" name="Tytuł 1">
            <a:extLst>
              <a:ext uri="{FF2B5EF4-FFF2-40B4-BE49-F238E27FC236}">
                <a16:creationId xmlns:a16="http://schemas.microsoft.com/office/drawing/2014/main" id="{00000000-0008-0000-0000-000003000000}"/>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4" name="Group 3">
            <a:extLst>
              <a:ext uri="{FF2B5EF4-FFF2-40B4-BE49-F238E27FC236}">
                <a16:creationId xmlns:a16="http://schemas.microsoft.com/office/drawing/2014/main" id="{00000000-0008-0000-0000-000004000000}"/>
              </a:ext>
            </a:extLst>
          </xdr:cNvPr>
          <xdr:cNvGrpSpPr>
            <a:grpSpLocks noChangeAspect="1"/>
          </xdr:cNvGrpSpPr>
        </xdr:nvGrpSpPr>
        <xdr:grpSpPr>
          <a:xfrm>
            <a:off x="2292668" y="2949307"/>
            <a:ext cx="1005208" cy="119543"/>
            <a:chOff x="2040001" y="3321847"/>
            <a:chExt cx="4540706" cy="540000"/>
          </a:xfrm>
        </xdr:grpSpPr>
        <xdr:sp macro="" textlink="">
          <xdr:nvSpPr>
            <xdr:cNvPr id="5" name="Prostokąt 15">
              <a:extLst>
                <a:ext uri="{FF2B5EF4-FFF2-40B4-BE49-F238E27FC236}">
                  <a16:creationId xmlns:a16="http://schemas.microsoft.com/office/drawing/2014/main" id="{00000000-0008-0000-0000-000005000000}"/>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6" name="Prostokąt 16">
              <a:extLst>
                <a:ext uri="{FF2B5EF4-FFF2-40B4-BE49-F238E27FC236}">
                  <a16:creationId xmlns:a16="http://schemas.microsoft.com/office/drawing/2014/main" id="{00000000-0008-0000-0000-000006000000}"/>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7" name="Prostokąt 17">
              <a:extLst>
                <a:ext uri="{FF2B5EF4-FFF2-40B4-BE49-F238E27FC236}">
                  <a16:creationId xmlns:a16="http://schemas.microsoft.com/office/drawing/2014/main" id="{00000000-0008-0000-0000-000007000000}"/>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6</xdr:col>
      <xdr:colOff>524933</xdr:colOff>
      <xdr:row>0</xdr:row>
      <xdr:rowOff>91440</xdr:rowOff>
    </xdr:from>
    <xdr:to>
      <xdr:col>10</xdr:col>
      <xdr:colOff>499654</xdr:colOff>
      <xdr:row>2</xdr:row>
      <xdr:rowOff>108481</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4178300" y="91440"/>
          <a:ext cx="2633254" cy="3472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Reins PAA Eligibility Check - v2.1</a:t>
          </a:r>
          <a:endParaRPr lang="en-GB" sz="1400" b="1">
            <a:solidFill>
              <a:schemeClr val="accent1">
                <a:lumMod val="75000"/>
              </a:schemeClr>
            </a:solidFill>
          </a:endParaRPr>
        </a:p>
      </xdr:txBody>
    </xdr:sp>
    <xdr:clientData/>
  </xdr:twoCellAnchor>
  <xdr:twoCellAnchor editAs="absolute">
    <xdr:from>
      <xdr:col>11</xdr:col>
      <xdr:colOff>311440</xdr:colOff>
      <xdr:row>0</xdr:row>
      <xdr:rowOff>76200</xdr:rowOff>
    </xdr:from>
    <xdr:to>
      <xdr:col>14</xdr:col>
      <xdr:colOff>381171</xdr:colOff>
      <xdr:row>2</xdr:row>
      <xdr:rowOff>93241</xdr:rowOff>
    </xdr:to>
    <xdr:sp macro="" textlink="">
      <xdr:nvSpPr>
        <xdr:cNvPr id="9" name="TextBox 8">
          <a:hlinkClick xmlns:r="http://schemas.openxmlformats.org/officeDocument/2006/relationships" r:id="rId1"/>
          <a:extLst>
            <a:ext uri="{FF2B5EF4-FFF2-40B4-BE49-F238E27FC236}">
              <a16:creationId xmlns:a16="http://schemas.microsoft.com/office/drawing/2014/main" id="{00000000-0008-0000-0000-000009000000}"/>
            </a:ext>
          </a:extLst>
        </xdr:cNvPr>
        <xdr:cNvSpPr txBox="1"/>
      </xdr:nvSpPr>
      <xdr:spPr>
        <a:xfrm>
          <a:off x="7287973" y="76200"/>
          <a:ext cx="2063631" cy="3472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1400" b="1">
              <a:solidFill>
                <a:schemeClr val="tx1">
                  <a:lumMod val="65000"/>
                  <a:lumOff val="35000"/>
                </a:schemeClr>
              </a:solidFill>
            </a:rPr>
            <a:t>[ www.3blocks.co ]</a:t>
          </a:r>
        </a:p>
      </xdr:txBody>
    </xdr:sp>
    <xdr:clientData/>
  </xdr:twoCellAnchor>
  <xdr:twoCellAnchor editAs="absolute">
    <xdr:from>
      <xdr:col>3</xdr:col>
      <xdr:colOff>202475</xdr:colOff>
      <xdr:row>0</xdr:row>
      <xdr:rowOff>91440</xdr:rowOff>
    </xdr:from>
    <xdr:to>
      <xdr:col>6</xdr:col>
      <xdr:colOff>345078</xdr:colOff>
      <xdr:row>2</xdr:row>
      <xdr:rowOff>108481</xdr:rowOff>
    </xdr:to>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1775461" y="91440"/>
          <a:ext cx="2049780" cy="3675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baseline="0">
              <a:solidFill>
                <a:schemeClr val="tx1"/>
              </a:solidFill>
            </a:rPr>
            <a:t>Instructions</a:t>
          </a:r>
          <a:endParaRPr lang="en-GB" sz="1400" b="1">
            <a:solidFill>
              <a:schemeClr val="tx1"/>
            </a:solidFill>
          </a:endParaRPr>
        </a:p>
      </xdr:txBody>
    </xdr:sp>
    <xdr:clientData/>
  </xdr:twoCellAnchor>
  <xdr:twoCellAnchor>
    <xdr:from>
      <xdr:col>2</xdr:col>
      <xdr:colOff>427730</xdr:colOff>
      <xdr:row>14</xdr:row>
      <xdr:rowOff>25984</xdr:rowOff>
    </xdr:from>
    <xdr:to>
      <xdr:col>3</xdr:col>
      <xdr:colOff>424494</xdr:colOff>
      <xdr:row>21</xdr:row>
      <xdr:rowOff>5560</xdr:rowOff>
    </xdr:to>
    <xdr:cxnSp macro="">
      <xdr:nvCxnSpPr>
        <xdr:cNvPr id="19" name="Straight Connector 18">
          <a:extLst>
            <a:ext uri="{FF2B5EF4-FFF2-40B4-BE49-F238E27FC236}">
              <a16:creationId xmlns:a16="http://schemas.microsoft.com/office/drawing/2014/main" id="{00000000-0008-0000-0000-000013000000}"/>
            </a:ext>
          </a:extLst>
        </xdr:cNvPr>
        <xdr:cNvCxnSpPr>
          <a:stCxn id="15" idx="0"/>
          <a:endCxn id="11" idx="2"/>
        </xdr:cNvCxnSpPr>
      </xdr:nvCxnSpPr>
      <xdr:spPr>
        <a:xfrm flipV="1">
          <a:off x="1423773" y="2355527"/>
          <a:ext cx="660792" cy="1122576"/>
        </a:xfrm>
        <a:prstGeom prst="line">
          <a:avLst/>
        </a:prstGeom>
        <a:ln w="254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184985</xdr:colOff>
      <xdr:row>22</xdr:row>
      <xdr:rowOff>25950</xdr:rowOff>
    </xdr:from>
    <xdr:to>
      <xdr:col>10</xdr:col>
      <xdr:colOff>453041</xdr:colOff>
      <xdr:row>25</xdr:row>
      <xdr:rowOff>56605</xdr:rowOff>
    </xdr:to>
    <xdr:cxnSp macro="">
      <xdr:nvCxnSpPr>
        <xdr:cNvPr id="31" name="Straight Connector 30">
          <a:extLst>
            <a:ext uri="{FF2B5EF4-FFF2-40B4-BE49-F238E27FC236}">
              <a16:creationId xmlns:a16="http://schemas.microsoft.com/office/drawing/2014/main" id="{00000000-0008-0000-0000-00001F000000}"/>
            </a:ext>
          </a:extLst>
        </xdr:cNvPr>
        <xdr:cNvCxnSpPr>
          <a:stCxn id="15" idx="3"/>
          <a:endCxn id="17" idx="0"/>
        </xdr:cNvCxnSpPr>
      </xdr:nvCxnSpPr>
      <xdr:spPr>
        <a:xfrm>
          <a:off x="2509085" y="3661779"/>
          <a:ext cx="4252227" cy="520512"/>
        </a:xfrm>
        <a:prstGeom prst="line">
          <a:avLst/>
        </a:prstGeom>
        <a:ln w="254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605247</xdr:colOff>
      <xdr:row>21</xdr:row>
      <xdr:rowOff>26125</xdr:rowOff>
    </xdr:from>
    <xdr:to>
      <xdr:col>12</xdr:col>
      <xdr:colOff>577042</xdr:colOff>
      <xdr:row>22</xdr:row>
      <xdr:rowOff>78645</xdr:rowOff>
    </xdr:to>
    <xdr:cxnSp macro="">
      <xdr:nvCxnSpPr>
        <xdr:cNvPr id="41" name="Straight Connector 40">
          <a:extLst>
            <a:ext uri="{FF2B5EF4-FFF2-40B4-BE49-F238E27FC236}">
              <a16:creationId xmlns:a16="http://schemas.microsoft.com/office/drawing/2014/main" id="{00000000-0008-0000-0000-000029000000}"/>
            </a:ext>
          </a:extLst>
        </xdr:cNvPr>
        <xdr:cNvCxnSpPr>
          <a:stCxn id="36" idx="1"/>
          <a:endCxn id="35" idx="4"/>
        </xdr:cNvCxnSpPr>
      </xdr:nvCxnSpPr>
      <xdr:spPr>
        <a:xfrm flipH="1" flipV="1">
          <a:off x="6913518" y="3498668"/>
          <a:ext cx="1299853" cy="215806"/>
        </a:xfrm>
        <a:prstGeom prst="line">
          <a:avLst/>
        </a:prstGeom>
        <a:ln w="25400">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62287</xdr:colOff>
      <xdr:row>19</xdr:row>
      <xdr:rowOff>22155</xdr:rowOff>
    </xdr:from>
    <xdr:to>
      <xdr:col>14</xdr:col>
      <xdr:colOff>325967</xdr:colOff>
      <xdr:row>21</xdr:row>
      <xdr:rowOff>55033</xdr:rowOff>
    </xdr:to>
    <xdr:cxnSp macro="">
      <xdr:nvCxnSpPr>
        <xdr:cNvPr id="63" name="Straight Connector 62">
          <a:extLst>
            <a:ext uri="{FF2B5EF4-FFF2-40B4-BE49-F238E27FC236}">
              <a16:creationId xmlns:a16="http://schemas.microsoft.com/office/drawing/2014/main" id="{3CC887BA-59CA-4A99-8094-D0D69712D449}"/>
            </a:ext>
          </a:extLst>
        </xdr:cNvPr>
        <xdr:cNvCxnSpPr>
          <a:stCxn id="35" idx="5"/>
        </xdr:cNvCxnSpPr>
      </xdr:nvCxnSpPr>
      <xdr:spPr>
        <a:xfrm>
          <a:off x="9032720" y="3192922"/>
          <a:ext cx="263680" cy="363078"/>
        </a:xfrm>
        <a:prstGeom prst="line">
          <a:avLst/>
        </a:prstGeom>
        <a:ln w="25400">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338460</xdr:colOff>
      <xdr:row>4</xdr:row>
      <xdr:rowOff>29935</xdr:rowOff>
    </xdr:from>
    <xdr:to>
      <xdr:col>16</xdr:col>
      <xdr:colOff>91008</xdr:colOff>
      <xdr:row>35</xdr:row>
      <xdr:rowOff>57047</xdr:rowOff>
    </xdr:to>
    <xdr:grpSp>
      <xdr:nvGrpSpPr>
        <xdr:cNvPr id="73" name="Group 72">
          <a:extLst>
            <a:ext uri="{FF2B5EF4-FFF2-40B4-BE49-F238E27FC236}">
              <a16:creationId xmlns:a16="http://schemas.microsoft.com/office/drawing/2014/main" id="{2DB42696-31B3-43F1-B7BF-A3EC500268E3}"/>
            </a:ext>
          </a:extLst>
        </xdr:cNvPr>
        <xdr:cNvGrpSpPr/>
      </xdr:nvGrpSpPr>
      <xdr:grpSpPr>
        <a:xfrm>
          <a:off x="338460" y="724202"/>
          <a:ext cx="10052248" cy="5145212"/>
          <a:chOff x="338460" y="724202"/>
          <a:chExt cx="10052248" cy="5145212"/>
        </a:xfrm>
      </xdr:grpSpPr>
      <xdr:grpSp>
        <xdr:nvGrpSpPr>
          <xdr:cNvPr id="57" name="Group 56">
            <a:extLst>
              <a:ext uri="{FF2B5EF4-FFF2-40B4-BE49-F238E27FC236}">
                <a16:creationId xmlns:a16="http://schemas.microsoft.com/office/drawing/2014/main" id="{56FF2FBA-5536-472E-A664-40C84CCD46B7}"/>
              </a:ext>
            </a:extLst>
          </xdr:cNvPr>
          <xdr:cNvGrpSpPr/>
        </xdr:nvGrpSpPr>
        <xdr:grpSpPr>
          <a:xfrm>
            <a:off x="338460" y="724202"/>
            <a:ext cx="10052248" cy="5145212"/>
            <a:chOff x="240488" y="715736"/>
            <a:chExt cx="10044991" cy="5088969"/>
          </a:xfrm>
        </xdr:grpSpPr>
        <xdr:pic>
          <xdr:nvPicPr>
            <xdr:cNvPr id="12" name="Picture 11">
              <a:extLst>
                <a:ext uri="{FF2B5EF4-FFF2-40B4-BE49-F238E27FC236}">
                  <a16:creationId xmlns:a16="http://schemas.microsoft.com/office/drawing/2014/main" id="{53303927-BEA1-47A6-9445-A0E2C534D0C5}"/>
                </a:ext>
              </a:extLst>
            </xdr:cNvPr>
            <xdr:cNvPicPr>
              <a:picLocks noChangeAspect="1"/>
            </xdr:cNvPicPr>
          </xdr:nvPicPr>
          <xdr:blipFill>
            <a:blip xmlns:r="http://schemas.openxmlformats.org/officeDocument/2006/relationships" r:embed="rId2"/>
            <a:stretch>
              <a:fillRect/>
            </a:stretch>
          </xdr:blipFill>
          <xdr:spPr>
            <a:xfrm>
              <a:off x="281940" y="715736"/>
              <a:ext cx="9682592" cy="5088969"/>
            </a:xfrm>
            <a:prstGeom prst="rect">
              <a:avLst/>
            </a:prstGeom>
          </xdr:spPr>
        </xdr:pic>
        <xdr:sp macro="" textlink="">
          <xdr:nvSpPr>
            <xdr:cNvPr id="36" name="Rectangle 35">
              <a:extLst>
                <a:ext uri="{FF2B5EF4-FFF2-40B4-BE49-F238E27FC236}">
                  <a16:creationId xmlns:a16="http://schemas.microsoft.com/office/drawing/2014/main" id="{00000000-0008-0000-0000-000024000000}"/>
                </a:ext>
              </a:extLst>
            </xdr:cNvPr>
            <xdr:cNvSpPr/>
          </xdr:nvSpPr>
          <xdr:spPr>
            <a:xfrm>
              <a:off x="8115399" y="3519641"/>
              <a:ext cx="2170080" cy="367895"/>
            </a:xfrm>
            <a:prstGeom prst="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400" b="1">
                  <a:solidFill>
                    <a:schemeClr val="bg1"/>
                  </a:solidFill>
                </a:rPr>
                <a:t>Outputs</a:t>
              </a:r>
            </a:p>
          </xdr:txBody>
        </xdr:sp>
        <xdr:sp macro="" textlink="">
          <xdr:nvSpPr>
            <xdr:cNvPr id="11" name="Oval 10">
              <a:extLst>
                <a:ext uri="{FF2B5EF4-FFF2-40B4-BE49-F238E27FC236}">
                  <a16:creationId xmlns:a16="http://schemas.microsoft.com/office/drawing/2014/main" id="{00000000-0008-0000-0000-00000B000000}"/>
                </a:ext>
              </a:extLst>
            </xdr:cNvPr>
            <xdr:cNvSpPr/>
          </xdr:nvSpPr>
          <xdr:spPr>
            <a:xfrm>
              <a:off x="1986593" y="1242867"/>
              <a:ext cx="1355866" cy="2203549"/>
            </a:xfrm>
            <a:prstGeom prst="ellipse">
              <a:avLst/>
            </a:prstGeom>
            <a:noFill/>
            <a:ln w="2540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16" name="Oval 15">
              <a:extLst>
                <a:ext uri="{FF2B5EF4-FFF2-40B4-BE49-F238E27FC236}">
                  <a16:creationId xmlns:a16="http://schemas.microsoft.com/office/drawing/2014/main" id="{00000000-0008-0000-0000-000010000000}"/>
                </a:ext>
              </a:extLst>
            </xdr:cNvPr>
            <xdr:cNvSpPr/>
          </xdr:nvSpPr>
          <xdr:spPr>
            <a:xfrm>
              <a:off x="3976880" y="4223783"/>
              <a:ext cx="810981" cy="1265338"/>
            </a:xfrm>
            <a:prstGeom prst="ellipse">
              <a:avLst/>
            </a:prstGeom>
            <a:noFill/>
            <a:ln w="2540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17" name="Oval 16">
              <a:extLst>
                <a:ext uri="{FF2B5EF4-FFF2-40B4-BE49-F238E27FC236}">
                  <a16:creationId xmlns:a16="http://schemas.microsoft.com/office/drawing/2014/main" id="{00000000-0008-0000-0000-000011000000}"/>
                </a:ext>
              </a:extLst>
            </xdr:cNvPr>
            <xdr:cNvSpPr/>
          </xdr:nvSpPr>
          <xdr:spPr>
            <a:xfrm>
              <a:off x="6257305" y="4171406"/>
              <a:ext cx="812069" cy="1338517"/>
            </a:xfrm>
            <a:prstGeom prst="ellipse">
              <a:avLst/>
            </a:prstGeom>
            <a:noFill/>
            <a:ln w="2540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15" name="Rectangle 14">
              <a:extLst>
                <a:ext uri="{FF2B5EF4-FFF2-40B4-BE49-F238E27FC236}">
                  <a16:creationId xmlns:a16="http://schemas.microsoft.com/office/drawing/2014/main" id="{00000000-0008-0000-0000-00000F000000}"/>
                </a:ext>
              </a:extLst>
            </xdr:cNvPr>
            <xdr:cNvSpPr/>
          </xdr:nvSpPr>
          <xdr:spPr>
            <a:xfrm>
              <a:off x="240488" y="3467218"/>
              <a:ext cx="2170625" cy="367351"/>
            </a:xfrm>
            <a:prstGeom prst="rect">
              <a:avLst/>
            </a:prstGeom>
            <a:solidFill>
              <a:schemeClr val="accent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400" b="1">
                  <a:solidFill>
                    <a:schemeClr val="bg1"/>
                  </a:solidFill>
                </a:rPr>
                <a:t>Inputs</a:t>
              </a:r>
            </a:p>
          </xdr:txBody>
        </xdr:sp>
        <xdr:cxnSp macro="">
          <xdr:nvCxnSpPr>
            <xdr:cNvPr id="23" name="Straight Connector 22">
              <a:extLst>
                <a:ext uri="{FF2B5EF4-FFF2-40B4-BE49-F238E27FC236}">
                  <a16:creationId xmlns:a16="http://schemas.microsoft.com/office/drawing/2014/main" id="{00000000-0008-0000-0000-000017000000}"/>
                </a:ext>
              </a:extLst>
            </xdr:cNvPr>
            <xdr:cNvCxnSpPr>
              <a:stCxn id="15" idx="2"/>
              <a:endCxn id="16" idx="2"/>
            </xdr:cNvCxnSpPr>
          </xdr:nvCxnSpPr>
          <xdr:spPr>
            <a:xfrm>
              <a:off x="1325529" y="3834569"/>
              <a:ext cx="2651351" cy="1021884"/>
            </a:xfrm>
            <a:prstGeom prst="line">
              <a:avLst/>
            </a:prstGeom>
            <a:ln w="254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35" name="Oval 34">
              <a:extLst>
                <a:ext uri="{FF2B5EF4-FFF2-40B4-BE49-F238E27FC236}">
                  <a16:creationId xmlns:a16="http://schemas.microsoft.com/office/drawing/2014/main" id="{00000000-0008-0000-0000-000023000000}"/>
                </a:ext>
              </a:extLst>
            </xdr:cNvPr>
            <xdr:cNvSpPr/>
          </xdr:nvSpPr>
          <xdr:spPr>
            <a:xfrm>
              <a:off x="3827417" y="1232263"/>
              <a:ext cx="5976257" cy="2255520"/>
            </a:xfrm>
            <a:prstGeom prst="ellipse">
              <a:avLst/>
            </a:prstGeom>
            <a:noFill/>
            <a:ln w="254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49" name="Oval 48">
              <a:extLst>
                <a:ext uri="{FF2B5EF4-FFF2-40B4-BE49-F238E27FC236}">
                  <a16:creationId xmlns:a16="http://schemas.microsoft.com/office/drawing/2014/main" id="{3C5EC9F3-4F79-4B87-A83B-18B747698BBD}"/>
                </a:ext>
              </a:extLst>
            </xdr:cNvPr>
            <xdr:cNvSpPr/>
          </xdr:nvSpPr>
          <xdr:spPr>
            <a:xfrm>
              <a:off x="8563247" y="4213316"/>
              <a:ext cx="810981" cy="1338517"/>
            </a:xfrm>
            <a:prstGeom prst="ellipse">
              <a:avLst/>
            </a:prstGeom>
            <a:noFill/>
            <a:ln w="2540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grpSp>
      <xdr:cxnSp macro="">
        <xdr:nvCxnSpPr>
          <xdr:cNvPr id="50" name="Straight Connector 49">
            <a:extLst>
              <a:ext uri="{FF2B5EF4-FFF2-40B4-BE49-F238E27FC236}">
                <a16:creationId xmlns:a16="http://schemas.microsoft.com/office/drawing/2014/main" id="{29016D53-E967-4DBC-A291-36C55E778549}"/>
              </a:ext>
            </a:extLst>
          </xdr:cNvPr>
          <xdr:cNvCxnSpPr>
            <a:stCxn id="15" idx="3"/>
            <a:endCxn id="49" idx="0"/>
          </xdr:cNvCxnSpPr>
        </xdr:nvCxnSpPr>
        <xdr:spPr>
          <a:xfrm>
            <a:off x="2509085" y="3692017"/>
            <a:ext cx="6563672" cy="567865"/>
          </a:xfrm>
          <a:prstGeom prst="line">
            <a:avLst/>
          </a:prstGeom>
          <a:ln w="254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59" name="Straight Connector 58">
            <a:extLst>
              <a:ext uri="{FF2B5EF4-FFF2-40B4-BE49-F238E27FC236}">
                <a16:creationId xmlns:a16="http://schemas.microsoft.com/office/drawing/2014/main" id="{EE59A54B-E6FA-4CB8-A2FA-79910051971E}"/>
              </a:ext>
            </a:extLst>
          </xdr:cNvPr>
          <xdr:cNvCxnSpPr/>
        </xdr:nvCxnSpPr>
        <xdr:spPr>
          <a:xfrm>
            <a:off x="2527300" y="3716867"/>
            <a:ext cx="4216400" cy="478366"/>
          </a:xfrm>
          <a:prstGeom prst="line">
            <a:avLst/>
          </a:prstGeom>
          <a:ln w="254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69" name="Straight Connector 68">
            <a:extLst>
              <a:ext uri="{FF2B5EF4-FFF2-40B4-BE49-F238E27FC236}">
                <a16:creationId xmlns:a16="http://schemas.microsoft.com/office/drawing/2014/main" id="{08AA83C9-4D97-4E2C-8DAD-4A17BE5B7139}"/>
              </a:ext>
            </a:extLst>
          </xdr:cNvPr>
          <xdr:cNvCxnSpPr>
            <a:stCxn id="11" idx="2"/>
            <a:endCxn id="15" idx="0"/>
          </xdr:cNvCxnSpPr>
        </xdr:nvCxnSpPr>
        <xdr:spPr>
          <a:xfrm flipH="1">
            <a:off x="1424557" y="2371110"/>
            <a:ext cx="661269" cy="1134983"/>
          </a:xfrm>
          <a:prstGeom prst="line">
            <a:avLst/>
          </a:prstGeom>
          <a:ln w="254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319069</xdr:colOff>
      <xdr:row>4</xdr:row>
      <xdr:rowOff>107444</xdr:rowOff>
    </xdr:from>
    <xdr:to>
      <xdr:col>7</xdr:col>
      <xdr:colOff>309562</xdr:colOff>
      <xdr:row>30</xdr:row>
      <xdr:rowOff>21771</xdr:rowOff>
    </xdr:to>
    <xdr:grpSp>
      <xdr:nvGrpSpPr>
        <xdr:cNvPr id="19" name="Group 18">
          <a:extLst>
            <a:ext uri="{FF2B5EF4-FFF2-40B4-BE49-F238E27FC236}">
              <a16:creationId xmlns:a16="http://schemas.microsoft.com/office/drawing/2014/main" id="{118A24F1-859C-4006-A776-47C52C5F7CEB}"/>
            </a:ext>
          </a:extLst>
        </xdr:cNvPr>
        <xdr:cNvGrpSpPr/>
      </xdr:nvGrpSpPr>
      <xdr:grpSpPr>
        <a:xfrm>
          <a:off x="319069" y="847673"/>
          <a:ext cx="5912322" cy="4774798"/>
          <a:chOff x="647693" y="826582"/>
          <a:chExt cx="6092971" cy="4493131"/>
        </a:xfrm>
      </xdr:grpSpPr>
      <xdr:sp macro="" textlink="">
        <xdr:nvSpPr>
          <xdr:cNvPr id="2" name="Rectangle 11">
            <a:extLst>
              <a:ext uri="{FF2B5EF4-FFF2-40B4-BE49-F238E27FC236}">
                <a16:creationId xmlns:a16="http://schemas.microsoft.com/office/drawing/2014/main" id="{0B89B390-F0F9-485F-B223-61D4DE4B7A98}"/>
              </a:ext>
            </a:extLst>
          </xdr:cNvPr>
          <xdr:cNvSpPr/>
        </xdr:nvSpPr>
        <xdr:spPr>
          <a:xfrm>
            <a:off x="647693" y="968799"/>
            <a:ext cx="6092971" cy="4350914"/>
          </a:xfrm>
          <a:prstGeom prst="rect">
            <a:avLst/>
          </a:prstGeom>
          <a:no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3" name="TextBox 12">
            <a:extLst>
              <a:ext uri="{FF2B5EF4-FFF2-40B4-BE49-F238E27FC236}">
                <a16:creationId xmlns:a16="http://schemas.microsoft.com/office/drawing/2014/main" id="{8B98A770-2CEC-4933-83C1-384ECE57532B}"/>
              </a:ext>
            </a:extLst>
          </xdr:cNvPr>
          <xdr:cNvSpPr txBox="1"/>
        </xdr:nvSpPr>
        <xdr:spPr>
          <a:xfrm>
            <a:off x="925796" y="826582"/>
            <a:ext cx="993058" cy="2570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algn="ctr"/>
            <a:r>
              <a:rPr lang="en-GB" sz="1200" b="1">
                <a:solidFill>
                  <a:schemeClr val="accent1"/>
                </a:solidFill>
              </a:rPr>
              <a:t>Parameters</a:t>
            </a:r>
          </a:p>
        </xdr:txBody>
      </xdr:sp>
    </xdr:grpSp>
    <xdr:clientData/>
  </xdr:twoCellAnchor>
  <xdr:twoCellAnchor editAs="absolute">
    <xdr:from>
      <xdr:col>0</xdr:col>
      <xdr:colOff>285750</xdr:colOff>
      <xdr:row>0</xdr:row>
      <xdr:rowOff>111761</xdr:rowOff>
    </xdr:from>
    <xdr:to>
      <xdr:col>1</xdr:col>
      <xdr:colOff>843867</xdr:colOff>
      <xdr:row>2</xdr:row>
      <xdr:rowOff>58430</xdr:rowOff>
    </xdr:to>
    <xdr:grpSp>
      <xdr:nvGrpSpPr>
        <xdr:cNvPr id="4" name="Group 3">
          <a:hlinkClick xmlns:r="http://schemas.openxmlformats.org/officeDocument/2006/relationships" r:id="rId1"/>
          <a:extLst>
            <a:ext uri="{FF2B5EF4-FFF2-40B4-BE49-F238E27FC236}">
              <a16:creationId xmlns:a16="http://schemas.microsoft.com/office/drawing/2014/main" id="{C98D77A7-3428-4FCB-94C2-0A0A46702CAA}"/>
            </a:ext>
          </a:extLst>
        </xdr:cNvPr>
        <xdr:cNvGrpSpPr/>
      </xdr:nvGrpSpPr>
      <xdr:grpSpPr>
        <a:xfrm>
          <a:off x="285750" y="111761"/>
          <a:ext cx="960888" cy="316783"/>
          <a:chOff x="2292668" y="2740184"/>
          <a:chExt cx="1005208" cy="328666"/>
        </a:xfrm>
        <a:effectLst>
          <a:outerShdw blurRad="50800" dist="50800" dir="5400000" algn="ctr" rotWithShape="0">
            <a:srgbClr val="000000">
              <a:alpha val="0"/>
            </a:srgbClr>
          </a:outerShdw>
        </a:effectLst>
      </xdr:grpSpPr>
      <xdr:sp macro="" textlink="">
        <xdr:nvSpPr>
          <xdr:cNvPr id="5" name="Tytuł 1">
            <a:extLst>
              <a:ext uri="{FF2B5EF4-FFF2-40B4-BE49-F238E27FC236}">
                <a16:creationId xmlns:a16="http://schemas.microsoft.com/office/drawing/2014/main" id="{67B74FC4-96E4-4B2F-B6F0-51E761597A3E}"/>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6" name="Group 5">
            <a:extLst>
              <a:ext uri="{FF2B5EF4-FFF2-40B4-BE49-F238E27FC236}">
                <a16:creationId xmlns:a16="http://schemas.microsoft.com/office/drawing/2014/main" id="{1B307168-B56A-4A95-9986-B2D8C63B14A8}"/>
              </a:ext>
            </a:extLst>
          </xdr:cNvPr>
          <xdr:cNvGrpSpPr>
            <a:grpSpLocks noChangeAspect="1"/>
          </xdr:cNvGrpSpPr>
        </xdr:nvGrpSpPr>
        <xdr:grpSpPr>
          <a:xfrm>
            <a:off x="2292668" y="2949307"/>
            <a:ext cx="1005208" cy="119543"/>
            <a:chOff x="2040001" y="3321847"/>
            <a:chExt cx="4540706" cy="540000"/>
          </a:xfrm>
        </xdr:grpSpPr>
        <xdr:sp macro="" textlink="">
          <xdr:nvSpPr>
            <xdr:cNvPr id="7" name="Prostokąt 15">
              <a:extLst>
                <a:ext uri="{FF2B5EF4-FFF2-40B4-BE49-F238E27FC236}">
                  <a16:creationId xmlns:a16="http://schemas.microsoft.com/office/drawing/2014/main" id="{1F8919D5-99DB-4931-A5F0-96527C7FEC0A}"/>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8" name="Prostokąt 16">
              <a:extLst>
                <a:ext uri="{FF2B5EF4-FFF2-40B4-BE49-F238E27FC236}">
                  <a16:creationId xmlns:a16="http://schemas.microsoft.com/office/drawing/2014/main" id="{20E0A584-F7EC-48F4-BF59-CC6F58AA3B75}"/>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9" name="Prostokąt 17">
              <a:extLst>
                <a:ext uri="{FF2B5EF4-FFF2-40B4-BE49-F238E27FC236}">
                  <a16:creationId xmlns:a16="http://schemas.microsoft.com/office/drawing/2014/main" id="{822FFB22-DB33-4CF1-9427-CD48A1345FF1}"/>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5</xdr:col>
      <xdr:colOff>632570</xdr:colOff>
      <xdr:row>0</xdr:row>
      <xdr:rowOff>133620</xdr:rowOff>
    </xdr:from>
    <xdr:to>
      <xdr:col>8</xdr:col>
      <xdr:colOff>555172</xdr:colOff>
      <xdr:row>2</xdr:row>
      <xdr:rowOff>91969</xdr:rowOff>
    </xdr:to>
    <xdr:sp macro="" textlink="">
      <xdr:nvSpPr>
        <xdr:cNvPr id="10" name="TextBox 9">
          <a:extLst>
            <a:ext uri="{FF2B5EF4-FFF2-40B4-BE49-F238E27FC236}">
              <a16:creationId xmlns:a16="http://schemas.microsoft.com/office/drawing/2014/main" id="{AF3E6911-AB9E-40B4-BA48-38F04BA0266C}"/>
            </a:ext>
          </a:extLst>
        </xdr:cNvPr>
        <xdr:cNvSpPr txBox="1"/>
      </xdr:nvSpPr>
      <xdr:spPr>
        <a:xfrm>
          <a:off x="4714713" y="133620"/>
          <a:ext cx="2682130" cy="32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Reins PAA Eligibility Check - v2.1</a:t>
          </a:r>
          <a:endParaRPr lang="en-GB" sz="1400" b="1">
            <a:solidFill>
              <a:schemeClr val="accent1">
                <a:lumMod val="75000"/>
              </a:schemeClr>
            </a:solidFill>
          </a:endParaRPr>
        </a:p>
      </xdr:txBody>
    </xdr:sp>
    <xdr:clientData/>
  </xdr:twoCellAnchor>
  <xdr:twoCellAnchor editAs="absolute">
    <xdr:from>
      <xdr:col>8</xdr:col>
      <xdr:colOff>899267</xdr:colOff>
      <xdr:row>0</xdr:row>
      <xdr:rowOff>97425</xdr:rowOff>
    </xdr:from>
    <xdr:to>
      <xdr:col>11</xdr:col>
      <xdr:colOff>107867</xdr:colOff>
      <xdr:row>2</xdr:row>
      <xdr:rowOff>91969</xdr:rowOff>
    </xdr:to>
    <xdr:sp macro="" textlink="">
      <xdr:nvSpPr>
        <xdr:cNvPr id="11" name="TextBox 10">
          <a:hlinkClick xmlns:r="http://schemas.openxmlformats.org/officeDocument/2006/relationships" r:id="rId1"/>
          <a:extLst>
            <a:ext uri="{FF2B5EF4-FFF2-40B4-BE49-F238E27FC236}">
              <a16:creationId xmlns:a16="http://schemas.microsoft.com/office/drawing/2014/main" id="{C455E1B5-6826-4EEF-B2CE-7C497B998C9C}"/>
            </a:ext>
          </a:extLst>
        </xdr:cNvPr>
        <xdr:cNvSpPr txBox="1"/>
      </xdr:nvSpPr>
      <xdr:spPr>
        <a:xfrm>
          <a:off x="7738217" y="97425"/>
          <a:ext cx="1966088" cy="3564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1400" b="1">
              <a:solidFill>
                <a:schemeClr val="tx1">
                  <a:lumMod val="65000"/>
                  <a:lumOff val="35000"/>
                </a:schemeClr>
              </a:solidFill>
            </a:rPr>
            <a:t>[ www.3blocks.co ]</a:t>
          </a:r>
        </a:p>
      </xdr:txBody>
    </xdr:sp>
    <xdr:clientData/>
  </xdr:twoCellAnchor>
  <xdr:twoCellAnchor editAs="absolute">
    <xdr:from>
      <xdr:col>2</xdr:col>
      <xdr:colOff>727064</xdr:colOff>
      <xdr:row>0</xdr:row>
      <xdr:rowOff>152670</xdr:rowOff>
    </xdr:from>
    <xdr:to>
      <xdr:col>5</xdr:col>
      <xdr:colOff>125191</xdr:colOff>
      <xdr:row>2</xdr:row>
      <xdr:rowOff>111019</xdr:rowOff>
    </xdr:to>
    <xdr:sp macro="" textlink="">
      <xdr:nvSpPr>
        <xdr:cNvPr id="12" name="TextBox 20">
          <a:extLst>
            <a:ext uri="{FF2B5EF4-FFF2-40B4-BE49-F238E27FC236}">
              <a16:creationId xmlns:a16="http://schemas.microsoft.com/office/drawing/2014/main" id="{DF7A2420-64DC-4256-9234-ADB3ED731FD0}"/>
            </a:ext>
          </a:extLst>
        </xdr:cNvPr>
        <xdr:cNvSpPr txBox="1"/>
      </xdr:nvSpPr>
      <xdr:spPr>
        <a:xfrm>
          <a:off x="2051039" y="152670"/>
          <a:ext cx="2155615" cy="3202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tx1"/>
              </a:solidFill>
            </a:rPr>
            <a:t>2-year coverage period</a:t>
          </a:r>
          <a:endParaRPr lang="en-GB" sz="1400" b="1">
            <a:solidFill>
              <a:schemeClr val="tx1"/>
            </a:solidFill>
          </a:endParaRPr>
        </a:p>
      </xdr:txBody>
    </xdr:sp>
    <xdr:clientData/>
  </xdr:twoCellAnchor>
  <xdr:twoCellAnchor editAs="absolute">
    <xdr:from>
      <xdr:col>8</xdr:col>
      <xdr:colOff>72170</xdr:colOff>
      <xdr:row>4</xdr:row>
      <xdr:rowOff>147638</xdr:rowOff>
    </xdr:from>
    <xdr:to>
      <xdr:col>14</xdr:col>
      <xdr:colOff>657126</xdr:colOff>
      <xdr:row>31</xdr:row>
      <xdr:rowOff>44533</xdr:rowOff>
    </xdr:to>
    <xdr:grpSp>
      <xdr:nvGrpSpPr>
        <xdr:cNvPr id="13" name="Group 12">
          <a:extLst>
            <a:ext uri="{FF2B5EF4-FFF2-40B4-BE49-F238E27FC236}">
              <a16:creationId xmlns:a16="http://schemas.microsoft.com/office/drawing/2014/main" id="{8ADC12EC-C269-46FC-AD94-2102B7B924CE}"/>
            </a:ext>
          </a:extLst>
        </xdr:cNvPr>
        <xdr:cNvGrpSpPr/>
      </xdr:nvGrpSpPr>
      <xdr:grpSpPr>
        <a:xfrm>
          <a:off x="6913841" y="887867"/>
          <a:ext cx="6104014" cy="4942423"/>
          <a:chOff x="5878287" y="968829"/>
          <a:chExt cx="5466470" cy="3864429"/>
        </a:xfrm>
      </xdr:grpSpPr>
      <xdr:graphicFrame macro="">
        <xdr:nvGraphicFramePr>
          <xdr:cNvPr id="14" name="Wykres 2">
            <a:extLst>
              <a:ext uri="{FF2B5EF4-FFF2-40B4-BE49-F238E27FC236}">
                <a16:creationId xmlns:a16="http://schemas.microsoft.com/office/drawing/2014/main" id="{57837A41-DA91-434B-8838-A9700E739E6F}"/>
              </a:ext>
            </a:extLst>
          </xdr:cNvPr>
          <xdr:cNvGraphicFramePr>
            <a:graphicFrameLocks/>
          </xdr:cNvGraphicFramePr>
        </xdr:nvGraphicFramePr>
        <xdr:xfrm>
          <a:off x="5878287" y="1062839"/>
          <a:ext cx="5466470" cy="3770419"/>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5" name="TextBox 31">
            <a:extLst>
              <a:ext uri="{FF2B5EF4-FFF2-40B4-BE49-F238E27FC236}">
                <a16:creationId xmlns:a16="http://schemas.microsoft.com/office/drawing/2014/main" id="{6931D109-13AA-4C47-A53A-B9112ED6390F}"/>
              </a:ext>
            </a:extLst>
          </xdr:cNvPr>
          <xdr:cNvSpPr txBox="1"/>
        </xdr:nvSpPr>
        <xdr:spPr>
          <a:xfrm>
            <a:off x="6346082" y="968829"/>
            <a:ext cx="2433650"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r>
              <a:rPr lang="en-GB" sz="1200" b="1"/>
              <a:t>Reinsurance AFRC under</a:t>
            </a:r>
            <a:r>
              <a:rPr lang="en-GB" sz="1200" b="1" baseline="0"/>
              <a:t> GMM and PAA</a:t>
            </a:r>
            <a:endParaRPr lang="en-GB" sz="1200" b="1"/>
          </a:p>
        </xdr:txBody>
      </xdr:sp>
    </xdr:grpSp>
    <xdr:clientData/>
  </xdr:twoCellAnchor>
  <xdr:twoCellAnchor editAs="absolute">
    <xdr:from>
      <xdr:col>15</xdr:col>
      <xdr:colOff>118028</xdr:colOff>
      <xdr:row>4</xdr:row>
      <xdr:rowOff>161925</xdr:rowOff>
    </xdr:from>
    <xdr:to>
      <xdr:col>21</xdr:col>
      <xdr:colOff>489578</xdr:colOff>
      <xdr:row>31</xdr:row>
      <xdr:rowOff>44533</xdr:rowOff>
    </xdr:to>
    <xdr:grpSp>
      <xdr:nvGrpSpPr>
        <xdr:cNvPr id="16" name="Group 15">
          <a:extLst>
            <a:ext uri="{FF2B5EF4-FFF2-40B4-BE49-F238E27FC236}">
              <a16:creationId xmlns:a16="http://schemas.microsoft.com/office/drawing/2014/main" id="{72FD3EBF-A8B1-4D89-B010-E8B80BAF22D4}"/>
            </a:ext>
          </a:extLst>
        </xdr:cNvPr>
        <xdr:cNvGrpSpPr/>
      </xdr:nvGrpSpPr>
      <xdr:grpSpPr>
        <a:xfrm>
          <a:off x="13398599" y="902154"/>
          <a:ext cx="5890608" cy="4928136"/>
          <a:chOff x="11826077" y="968829"/>
          <a:chExt cx="5466470" cy="3824547"/>
        </a:xfrm>
      </xdr:grpSpPr>
      <xdr:graphicFrame macro="">
        <xdr:nvGraphicFramePr>
          <xdr:cNvPr id="17" name="Wykres 2">
            <a:extLst>
              <a:ext uri="{FF2B5EF4-FFF2-40B4-BE49-F238E27FC236}">
                <a16:creationId xmlns:a16="http://schemas.microsoft.com/office/drawing/2014/main" id="{C4CA4237-97B4-4747-8FBF-18CE8EA2B1AD}"/>
              </a:ext>
            </a:extLst>
          </xdr:cNvPr>
          <xdr:cNvGraphicFramePr>
            <a:graphicFrameLocks/>
          </xdr:cNvGraphicFramePr>
        </xdr:nvGraphicFramePr>
        <xdr:xfrm>
          <a:off x="11826077" y="1092753"/>
          <a:ext cx="5466470" cy="3700623"/>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8" name="TextBox 34">
            <a:extLst>
              <a:ext uri="{FF2B5EF4-FFF2-40B4-BE49-F238E27FC236}">
                <a16:creationId xmlns:a16="http://schemas.microsoft.com/office/drawing/2014/main" id="{F3A4409F-0177-44A0-A1AE-CA3C19995EA0}"/>
              </a:ext>
            </a:extLst>
          </xdr:cNvPr>
          <xdr:cNvSpPr txBox="1"/>
        </xdr:nvSpPr>
        <xdr:spPr>
          <a:xfrm>
            <a:off x="12303097" y="968829"/>
            <a:ext cx="4033943"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lang="en-GB" sz="1200" b="1">
                <a:solidFill>
                  <a:schemeClr val="dk1"/>
                </a:solidFill>
                <a:effectLst/>
                <a:latin typeface="+mn-lt"/>
                <a:ea typeface="+mn-ea"/>
                <a:cs typeface="+mn-cs"/>
              </a:rPr>
              <a:t>Coverage</a:t>
            </a:r>
            <a:r>
              <a:rPr lang="en-GB" sz="1200" b="1" baseline="0">
                <a:solidFill>
                  <a:schemeClr val="dk1"/>
                </a:solidFill>
                <a:effectLst/>
                <a:latin typeface="+mn-lt"/>
                <a:ea typeface="+mn-ea"/>
                <a:cs typeface="+mn-cs"/>
              </a:rPr>
              <a:t> units and risk distribution (including lapses)</a:t>
            </a:r>
            <a:endParaRPr lang="en-GB" sz="1200">
              <a:effectLst/>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304799</xdr:colOff>
      <xdr:row>4</xdr:row>
      <xdr:rowOff>78869</xdr:rowOff>
    </xdr:from>
    <xdr:to>
      <xdr:col>7</xdr:col>
      <xdr:colOff>328613</xdr:colOff>
      <xdr:row>29</xdr:row>
      <xdr:rowOff>174170</xdr:rowOff>
    </xdr:to>
    <xdr:grpSp>
      <xdr:nvGrpSpPr>
        <xdr:cNvPr id="21" name="Group 20">
          <a:extLst>
            <a:ext uri="{FF2B5EF4-FFF2-40B4-BE49-F238E27FC236}">
              <a16:creationId xmlns:a16="http://schemas.microsoft.com/office/drawing/2014/main" id="{DD14D5CF-03DD-4B3F-970D-B840432757E8}"/>
            </a:ext>
          </a:extLst>
        </xdr:cNvPr>
        <xdr:cNvGrpSpPr/>
      </xdr:nvGrpSpPr>
      <xdr:grpSpPr>
        <a:xfrm>
          <a:off x="304799" y="819098"/>
          <a:ext cx="5945643" cy="4770715"/>
          <a:chOff x="704848" y="826582"/>
          <a:chExt cx="6092971" cy="4493131"/>
        </a:xfrm>
      </xdr:grpSpPr>
      <xdr:sp macro="" textlink="">
        <xdr:nvSpPr>
          <xdr:cNvPr id="2" name="Rectangle 11">
            <a:extLst>
              <a:ext uri="{FF2B5EF4-FFF2-40B4-BE49-F238E27FC236}">
                <a16:creationId xmlns:a16="http://schemas.microsoft.com/office/drawing/2014/main" id="{C132C300-4B1F-4276-AB47-37CE73A7F1D2}"/>
              </a:ext>
            </a:extLst>
          </xdr:cNvPr>
          <xdr:cNvSpPr/>
        </xdr:nvSpPr>
        <xdr:spPr>
          <a:xfrm>
            <a:off x="704848" y="968799"/>
            <a:ext cx="6092971" cy="4350914"/>
          </a:xfrm>
          <a:prstGeom prst="rect">
            <a:avLst/>
          </a:prstGeom>
          <a:no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3" name="TextBox 12">
            <a:extLst>
              <a:ext uri="{FF2B5EF4-FFF2-40B4-BE49-F238E27FC236}">
                <a16:creationId xmlns:a16="http://schemas.microsoft.com/office/drawing/2014/main" id="{97060981-BB11-4F36-AD5F-B96430715B17}"/>
              </a:ext>
            </a:extLst>
          </xdr:cNvPr>
          <xdr:cNvSpPr txBox="1"/>
        </xdr:nvSpPr>
        <xdr:spPr>
          <a:xfrm>
            <a:off x="925796" y="826582"/>
            <a:ext cx="993058" cy="2570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algn="ctr"/>
            <a:r>
              <a:rPr lang="en-GB" sz="1100" b="1">
                <a:solidFill>
                  <a:schemeClr val="accent1"/>
                </a:solidFill>
              </a:rPr>
              <a:t>Parameters</a:t>
            </a:r>
          </a:p>
        </xdr:txBody>
      </xdr:sp>
    </xdr:grpSp>
    <xdr:clientData/>
  </xdr:twoCellAnchor>
  <xdr:twoCellAnchor editAs="absolute">
    <xdr:from>
      <xdr:col>0</xdr:col>
      <xdr:colOff>285750</xdr:colOff>
      <xdr:row>0</xdr:row>
      <xdr:rowOff>111761</xdr:rowOff>
    </xdr:from>
    <xdr:to>
      <xdr:col>2</xdr:col>
      <xdr:colOff>224</xdr:colOff>
      <xdr:row>2</xdr:row>
      <xdr:rowOff>58430</xdr:rowOff>
    </xdr:to>
    <xdr:grpSp>
      <xdr:nvGrpSpPr>
        <xdr:cNvPr id="6" name="Group 3">
          <a:hlinkClick xmlns:r="http://schemas.openxmlformats.org/officeDocument/2006/relationships" r:id="rId1"/>
          <a:extLst>
            <a:ext uri="{FF2B5EF4-FFF2-40B4-BE49-F238E27FC236}">
              <a16:creationId xmlns:a16="http://schemas.microsoft.com/office/drawing/2014/main" id="{FC004332-28D0-45F3-A2AC-9EF92E511838}"/>
            </a:ext>
          </a:extLst>
        </xdr:cNvPr>
        <xdr:cNvGrpSpPr/>
      </xdr:nvGrpSpPr>
      <xdr:grpSpPr>
        <a:xfrm>
          <a:off x="285750" y="111761"/>
          <a:ext cx="1037088" cy="316783"/>
          <a:chOff x="2292668" y="2740184"/>
          <a:chExt cx="1005208" cy="328666"/>
        </a:xfrm>
        <a:effectLst>
          <a:outerShdw blurRad="50800" dist="50800" dir="5400000" algn="ctr" rotWithShape="0">
            <a:srgbClr val="000000">
              <a:alpha val="0"/>
            </a:srgbClr>
          </a:outerShdw>
        </a:effectLst>
      </xdr:grpSpPr>
      <xdr:sp macro="" textlink="">
        <xdr:nvSpPr>
          <xdr:cNvPr id="7" name="Tytuł 1">
            <a:extLst>
              <a:ext uri="{FF2B5EF4-FFF2-40B4-BE49-F238E27FC236}">
                <a16:creationId xmlns:a16="http://schemas.microsoft.com/office/drawing/2014/main" id="{42299F1E-760F-42CD-874B-B4AAF5C2D7D6}"/>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8" name="Group 5">
            <a:extLst>
              <a:ext uri="{FF2B5EF4-FFF2-40B4-BE49-F238E27FC236}">
                <a16:creationId xmlns:a16="http://schemas.microsoft.com/office/drawing/2014/main" id="{882E665F-DDFD-406B-8A62-1E91FE4A213F}"/>
              </a:ext>
            </a:extLst>
          </xdr:cNvPr>
          <xdr:cNvGrpSpPr>
            <a:grpSpLocks noChangeAspect="1"/>
          </xdr:cNvGrpSpPr>
        </xdr:nvGrpSpPr>
        <xdr:grpSpPr>
          <a:xfrm>
            <a:off x="2292668" y="2949307"/>
            <a:ext cx="1005208" cy="119543"/>
            <a:chOff x="2040001" y="3321847"/>
            <a:chExt cx="4540706" cy="540000"/>
          </a:xfrm>
        </xdr:grpSpPr>
        <xdr:sp macro="" textlink="">
          <xdr:nvSpPr>
            <xdr:cNvPr id="9" name="Prostokąt 15">
              <a:extLst>
                <a:ext uri="{FF2B5EF4-FFF2-40B4-BE49-F238E27FC236}">
                  <a16:creationId xmlns:a16="http://schemas.microsoft.com/office/drawing/2014/main" id="{81003FCD-0C62-4DCA-A298-033B841D5580}"/>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10" name="Prostokąt 16">
              <a:extLst>
                <a:ext uri="{FF2B5EF4-FFF2-40B4-BE49-F238E27FC236}">
                  <a16:creationId xmlns:a16="http://schemas.microsoft.com/office/drawing/2014/main" id="{B7D7F1CC-1022-4B53-86A0-97C3CBF3E334}"/>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11" name="Prostokąt 17">
              <a:extLst>
                <a:ext uri="{FF2B5EF4-FFF2-40B4-BE49-F238E27FC236}">
                  <a16:creationId xmlns:a16="http://schemas.microsoft.com/office/drawing/2014/main" id="{263D1927-FDF4-46E8-A5E6-0D2FAC4475EE}"/>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5</xdr:col>
      <xdr:colOff>676093</xdr:colOff>
      <xdr:row>0</xdr:row>
      <xdr:rowOff>133620</xdr:rowOff>
    </xdr:from>
    <xdr:to>
      <xdr:col>8</xdr:col>
      <xdr:colOff>549728</xdr:colOff>
      <xdr:row>2</xdr:row>
      <xdr:rowOff>91969</xdr:rowOff>
    </xdr:to>
    <xdr:sp macro="" textlink="">
      <xdr:nvSpPr>
        <xdr:cNvPr id="12" name="TextBox 9">
          <a:extLst>
            <a:ext uri="{FF2B5EF4-FFF2-40B4-BE49-F238E27FC236}">
              <a16:creationId xmlns:a16="http://schemas.microsoft.com/office/drawing/2014/main" id="{B6E11CCD-7775-451A-8004-92D42376C621}"/>
            </a:ext>
          </a:extLst>
        </xdr:cNvPr>
        <xdr:cNvSpPr txBox="1"/>
      </xdr:nvSpPr>
      <xdr:spPr>
        <a:xfrm>
          <a:off x="4758236" y="133620"/>
          <a:ext cx="2633163" cy="32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Reins PAA Eligibility Check - v2.1</a:t>
          </a:r>
          <a:endParaRPr lang="en-GB" sz="1400" b="1">
            <a:solidFill>
              <a:schemeClr val="accent1">
                <a:lumMod val="75000"/>
              </a:schemeClr>
            </a:solidFill>
          </a:endParaRPr>
        </a:p>
      </xdr:txBody>
    </xdr:sp>
    <xdr:clientData/>
  </xdr:twoCellAnchor>
  <xdr:twoCellAnchor editAs="absolute">
    <xdr:from>
      <xdr:col>8</xdr:col>
      <xdr:colOff>883603</xdr:colOff>
      <xdr:row>0</xdr:row>
      <xdr:rowOff>97425</xdr:rowOff>
    </xdr:from>
    <xdr:to>
      <xdr:col>11</xdr:col>
      <xdr:colOff>92203</xdr:colOff>
      <xdr:row>2</xdr:row>
      <xdr:rowOff>91969</xdr:rowOff>
    </xdr:to>
    <xdr:sp macro="" textlink="">
      <xdr:nvSpPr>
        <xdr:cNvPr id="13" name="TextBox 10">
          <a:hlinkClick xmlns:r="http://schemas.openxmlformats.org/officeDocument/2006/relationships" r:id="rId1"/>
          <a:extLst>
            <a:ext uri="{FF2B5EF4-FFF2-40B4-BE49-F238E27FC236}">
              <a16:creationId xmlns:a16="http://schemas.microsoft.com/office/drawing/2014/main" id="{A81BD6F1-C8BF-4FF3-9EE1-438522150095}"/>
            </a:ext>
          </a:extLst>
        </xdr:cNvPr>
        <xdr:cNvSpPr txBox="1"/>
      </xdr:nvSpPr>
      <xdr:spPr>
        <a:xfrm>
          <a:off x="7725274" y="97425"/>
          <a:ext cx="1968129" cy="3646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1400" b="1">
              <a:solidFill>
                <a:schemeClr val="tx1">
                  <a:lumMod val="65000"/>
                  <a:lumOff val="35000"/>
                </a:schemeClr>
              </a:solidFill>
            </a:rPr>
            <a:t>[ www.3blocks.co ]</a:t>
          </a:r>
        </a:p>
      </xdr:txBody>
    </xdr:sp>
    <xdr:clientData/>
  </xdr:twoCellAnchor>
  <xdr:twoCellAnchor editAs="absolute">
    <xdr:from>
      <xdr:col>2</xdr:col>
      <xdr:colOff>761074</xdr:colOff>
      <xdr:row>0</xdr:row>
      <xdr:rowOff>133620</xdr:rowOff>
    </xdr:from>
    <xdr:to>
      <xdr:col>5</xdr:col>
      <xdr:colOff>158521</xdr:colOff>
      <xdr:row>2</xdr:row>
      <xdr:rowOff>91969</xdr:rowOff>
    </xdr:to>
    <xdr:sp macro="" textlink="">
      <xdr:nvSpPr>
        <xdr:cNvPr id="14" name="TextBox 20">
          <a:extLst>
            <a:ext uri="{FF2B5EF4-FFF2-40B4-BE49-F238E27FC236}">
              <a16:creationId xmlns:a16="http://schemas.microsoft.com/office/drawing/2014/main" id="{F3AED50D-9823-4203-B156-7B22A5D574D0}"/>
            </a:ext>
          </a:extLst>
        </xdr:cNvPr>
        <xdr:cNvSpPr txBox="1"/>
      </xdr:nvSpPr>
      <xdr:spPr>
        <a:xfrm>
          <a:off x="2083688" y="133620"/>
          <a:ext cx="2156976" cy="32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tx1"/>
              </a:solidFill>
            </a:rPr>
            <a:t>3-year coverage period</a:t>
          </a:r>
          <a:endParaRPr lang="en-GB" sz="1400" b="1">
            <a:solidFill>
              <a:schemeClr val="tx1"/>
            </a:solidFill>
          </a:endParaRPr>
        </a:p>
      </xdr:txBody>
    </xdr:sp>
    <xdr:clientData/>
  </xdr:twoCellAnchor>
  <xdr:twoCellAnchor editAs="absolute">
    <xdr:from>
      <xdr:col>8</xdr:col>
      <xdr:colOff>72220</xdr:colOff>
      <xdr:row>4</xdr:row>
      <xdr:rowOff>133350</xdr:rowOff>
    </xdr:from>
    <xdr:to>
      <xdr:col>14</xdr:col>
      <xdr:colOff>784056</xdr:colOff>
      <xdr:row>31</xdr:row>
      <xdr:rowOff>44533</xdr:rowOff>
    </xdr:to>
    <xdr:grpSp>
      <xdr:nvGrpSpPr>
        <xdr:cNvPr id="15" name="Group 14">
          <a:extLst>
            <a:ext uri="{FF2B5EF4-FFF2-40B4-BE49-F238E27FC236}">
              <a16:creationId xmlns:a16="http://schemas.microsoft.com/office/drawing/2014/main" id="{6A40C7C1-E712-4D54-87A3-FD6E3EC00A71}"/>
            </a:ext>
          </a:extLst>
        </xdr:cNvPr>
        <xdr:cNvGrpSpPr/>
      </xdr:nvGrpSpPr>
      <xdr:grpSpPr>
        <a:xfrm>
          <a:off x="6913891" y="873579"/>
          <a:ext cx="6230894" cy="4956711"/>
          <a:chOff x="5878287" y="968829"/>
          <a:chExt cx="5466470" cy="3864429"/>
        </a:xfrm>
      </xdr:grpSpPr>
      <xdr:graphicFrame macro="">
        <xdr:nvGraphicFramePr>
          <xdr:cNvPr id="16" name="Wykres 2">
            <a:extLst>
              <a:ext uri="{FF2B5EF4-FFF2-40B4-BE49-F238E27FC236}">
                <a16:creationId xmlns:a16="http://schemas.microsoft.com/office/drawing/2014/main" id="{FD4B2B39-F033-4A42-AE80-80C007A233C2}"/>
              </a:ext>
            </a:extLst>
          </xdr:cNvPr>
          <xdr:cNvGraphicFramePr>
            <a:graphicFrameLocks/>
          </xdr:cNvGraphicFramePr>
        </xdr:nvGraphicFramePr>
        <xdr:xfrm>
          <a:off x="5878287" y="1062839"/>
          <a:ext cx="5466470" cy="3770419"/>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7" name="TextBox 31">
            <a:extLst>
              <a:ext uri="{FF2B5EF4-FFF2-40B4-BE49-F238E27FC236}">
                <a16:creationId xmlns:a16="http://schemas.microsoft.com/office/drawing/2014/main" id="{F2BB0B07-0D1D-4D42-88A8-5039047109D3}"/>
              </a:ext>
            </a:extLst>
          </xdr:cNvPr>
          <xdr:cNvSpPr txBox="1"/>
        </xdr:nvSpPr>
        <xdr:spPr>
          <a:xfrm>
            <a:off x="6346082" y="968829"/>
            <a:ext cx="2433650"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r>
              <a:rPr lang="en-GB" sz="1100" b="1"/>
              <a:t>Reinsurance AFRC under</a:t>
            </a:r>
            <a:r>
              <a:rPr lang="en-GB" sz="1100" b="1" baseline="0"/>
              <a:t> GMM and PAA</a:t>
            </a:r>
            <a:endParaRPr lang="en-GB" sz="1100" b="1"/>
          </a:p>
        </xdr:txBody>
      </xdr:sp>
    </xdr:grpSp>
    <xdr:clientData/>
  </xdr:twoCellAnchor>
  <xdr:twoCellAnchor editAs="absolute">
    <xdr:from>
      <xdr:col>15</xdr:col>
      <xdr:colOff>118078</xdr:colOff>
      <xdr:row>4</xdr:row>
      <xdr:rowOff>80963</xdr:rowOff>
    </xdr:from>
    <xdr:to>
      <xdr:col>21</xdr:col>
      <xdr:colOff>489628</xdr:colOff>
      <xdr:row>31</xdr:row>
      <xdr:rowOff>44533</xdr:rowOff>
    </xdr:to>
    <xdr:grpSp>
      <xdr:nvGrpSpPr>
        <xdr:cNvPr id="18" name="Group 17">
          <a:extLst>
            <a:ext uri="{FF2B5EF4-FFF2-40B4-BE49-F238E27FC236}">
              <a16:creationId xmlns:a16="http://schemas.microsoft.com/office/drawing/2014/main" id="{50583CF2-DD23-470F-8F97-C06CC1DB2465}"/>
            </a:ext>
          </a:extLst>
        </xdr:cNvPr>
        <xdr:cNvGrpSpPr/>
      </xdr:nvGrpSpPr>
      <xdr:grpSpPr>
        <a:xfrm>
          <a:off x="13398649" y="821192"/>
          <a:ext cx="5890608" cy="5009098"/>
          <a:chOff x="11826077" y="968829"/>
          <a:chExt cx="5466470" cy="3824547"/>
        </a:xfrm>
      </xdr:grpSpPr>
      <xdr:graphicFrame macro="">
        <xdr:nvGraphicFramePr>
          <xdr:cNvPr id="19" name="Wykres 2">
            <a:extLst>
              <a:ext uri="{FF2B5EF4-FFF2-40B4-BE49-F238E27FC236}">
                <a16:creationId xmlns:a16="http://schemas.microsoft.com/office/drawing/2014/main" id="{B0140124-DB76-430E-A5DA-01172F6D39D1}"/>
              </a:ext>
            </a:extLst>
          </xdr:cNvPr>
          <xdr:cNvGraphicFramePr>
            <a:graphicFrameLocks/>
          </xdr:cNvGraphicFramePr>
        </xdr:nvGraphicFramePr>
        <xdr:xfrm>
          <a:off x="11826077" y="1092753"/>
          <a:ext cx="5466470" cy="3700623"/>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20" name="TextBox 34">
            <a:extLst>
              <a:ext uri="{FF2B5EF4-FFF2-40B4-BE49-F238E27FC236}">
                <a16:creationId xmlns:a16="http://schemas.microsoft.com/office/drawing/2014/main" id="{E7B6A4A7-060F-43E2-AD98-38DBF4EA38EE}"/>
              </a:ext>
            </a:extLst>
          </xdr:cNvPr>
          <xdr:cNvSpPr txBox="1"/>
        </xdr:nvSpPr>
        <xdr:spPr>
          <a:xfrm>
            <a:off x="12303097" y="968829"/>
            <a:ext cx="4033943"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Coverage</a:t>
            </a:r>
            <a:r>
              <a:rPr lang="en-GB" sz="1100" b="1" baseline="0">
                <a:solidFill>
                  <a:schemeClr val="dk1"/>
                </a:solidFill>
                <a:effectLst/>
                <a:latin typeface="+mn-lt"/>
                <a:ea typeface="+mn-ea"/>
                <a:cs typeface="+mn-cs"/>
              </a:rPr>
              <a:t> units and risk distribution (including lapses)</a:t>
            </a:r>
            <a:endParaRPr lang="en-GB">
              <a:effectLst/>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312960</xdr:colOff>
      <xdr:row>4</xdr:row>
      <xdr:rowOff>102681</xdr:rowOff>
    </xdr:from>
    <xdr:to>
      <xdr:col>7</xdr:col>
      <xdr:colOff>348342</xdr:colOff>
      <xdr:row>29</xdr:row>
      <xdr:rowOff>181246</xdr:rowOff>
    </xdr:to>
    <xdr:grpSp>
      <xdr:nvGrpSpPr>
        <xdr:cNvPr id="21" name="Group 20">
          <a:extLst>
            <a:ext uri="{FF2B5EF4-FFF2-40B4-BE49-F238E27FC236}">
              <a16:creationId xmlns:a16="http://schemas.microsoft.com/office/drawing/2014/main" id="{CED2FFF2-C4BE-467F-89F8-7A204D35EAF0}"/>
            </a:ext>
          </a:extLst>
        </xdr:cNvPr>
        <xdr:cNvGrpSpPr/>
      </xdr:nvGrpSpPr>
      <xdr:grpSpPr>
        <a:xfrm>
          <a:off x="312960" y="842910"/>
          <a:ext cx="5957211" cy="4753979"/>
          <a:chOff x="704848" y="842911"/>
          <a:chExt cx="6097733" cy="4591782"/>
        </a:xfrm>
      </xdr:grpSpPr>
      <xdr:sp macro="" textlink="">
        <xdr:nvSpPr>
          <xdr:cNvPr id="2" name="Rectangle 11">
            <a:extLst>
              <a:ext uri="{FF2B5EF4-FFF2-40B4-BE49-F238E27FC236}">
                <a16:creationId xmlns:a16="http://schemas.microsoft.com/office/drawing/2014/main" id="{E7DBED3D-A321-464B-8DFD-5DD65B4D7DEF}"/>
              </a:ext>
            </a:extLst>
          </xdr:cNvPr>
          <xdr:cNvSpPr/>
        </xdr:nvSpPr>
        <xdr:spPr>
          <a:xfrm>
            <a:off x="704848" y="985807"/>
            <a:ext cx="6097733" cy="4448886"/>
          </a:xfrm>
          <a:prstGeom prst="rect">
            <a:avLst/>
          </a:prstGeom>
          <a:no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3" name="TextBox 12">
            <a:extLst>
              <a:ext uri="{FF2B5EF4-FFF2-40B4-BE49-F238E27FC236}">
                <a16:creationId xmlns:a16="http://schemas.microsoft.com/office/drawing/2014/main" id="{FFABB174-10BF-4EB7-8F70-35C7D19A1DBF}"/>
              </a:ext>
            </a:extLst>
          </xdr:cNvPr>
          <xdr:cNvSpPr txBox="1"/>
        </xdr:nvSpPr>
        <xdr:spPr>
          <a:xfrm>
            <a:off x="926476" y="842911"/>
            <a:ext cx="993739" cy="2576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algn="ctr"/>
            <a:r>
              <a:rPr lang="en-GB" sz="1100" b="1">
                <a:solidFill>
                  <a:schemeClr val="accent1"/>
                </a:solidFill>
              </a:rPr>
              <a:t>Parameters</a:t>
            </a:r>
          </a:p>
        </xdr:txBody>
      </xdr:sp>
    </xdr:grpSp>
    <xdr:clientData/>
  </xdr:twoCellAnchor>
  <xdr:twoCellAnchor editAs="absolute">
    <xdr:from>
      <xdr:col>0</xdr:col>
      <xdr:colOff>285750</xdr:colOff>
      <xdr:row>0</xdr:row>
      <xdr:rowOff>111761</xdr:rowOff>
    </xdr:from>
    <xdr:to>
      <xdr:col>1</xdr:col>
      <xdr:colOff>846589</xdr:colOff>
      <xdr:row>2</xdr:row>
      <xdr:rowOff>58430</xdr:rowOff>
    </xdr:to>
    <xdr:grpSp>
      <xdr:nvGrpSpPr>
        <xdr:cNvPr id="4" name="Group 3">
          <a:hlinkClick xmlns:r="http://schemas.openxmlformats.org/officeDocument/2006/relationships" r:id="rId1"/>
          <a:extLst>
            <a:ext uri="{FF2B5EF4-FFF2-40B4-BE49-F238E27FC236}">
              <a16:creationId xmlns:a16="http://schemas.microsoft.com/office/drawing/2014/main" id="{F958F580-1AA3-4E15-8445-D41C62F7D456}"/>
            </a:ext>
          </a:extLst>
        </xdr:cNvPr>
        <xdr:cNvGrpSpPr/>
      </xdr:nvGrpSpPr>
      <xdr:grpSpPr>
        <a:xfrm>
          <a:off x="285750" y="111761"/>
          <a:ext cx="963610" cy="316783"/>
          <a:chOff x="2292668" y="2740184"/>
          <a:chExt cx="1005208" cy="328666"/>
        </a:xfrm>
        <a:effectLst>
          <a:outerShdw blurRad="50800" dist="50800" dir="5400000" algn="ctr" rotWithShape="0">
            <a:srgbClr val="000000">
              <a:alpha val="0"/>
            </a:srgbClr>
          </a:outerShdw>
        </a:effectLst>
      </xdr:grpSpPr>
      <xdr:sp macro="" textlink="">
        <xdr:nvSpPr>
          <xdr:cNvPr id="5" name="Tytuł 1">
            <a:extLst>
              <a:ext uri="{FF2B5EF4-FFF2-40B4-BE49-F238E27FC236}">
                <a16:creationId xmlns:a16="http://schemas.microsoft.com/office/drawing/2014/main" id="{3BADFBA4-15F5-4C1A-9E34-9396EF9988E3}"/>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6" name="Group 5">
            <a:extLst>
              <a:ext uri="{FF2B5EF4-FFF2-40B4-BE49-F238E27FC236}">
                <a16:creationId xmlns:a16="http://schemas.microsoft.com/office/drawing/2014/main" id="{F61F6C11-E8F5-41E5-9836-1DBAFF20F25C}"/>
              </a:ext>
            </a:extLst>
          </xdr:cNvPr>
          <xdr:cNvGrpSpPr>
            <a:grpSpLocks noChangeAspect="1"/>
          </xdr:cNvGrpSpPr>
        </xdr:nvGrpSpPr>
        <xdr:grpSpPr>
          <a:xfrm>
            <a:off x="2292668" y="2949307"/>
            <a:ext cx="1005208" cy="119543"/>
            <a:chOff x="2040001" y="3321847"/>
            <a:chExt cx="4540706" cy="540000"/>
          </a:xfrm>
        </xdr:grpSpPr>
        <xdr:sp macro="" textlink="">
          <xdr:nvSpPr>
            <xdr:cNvPr id="7" name="Prostokąt 15">
              <a:extLst>
                <a:ext uri="{FF2B5EF4-FFF2-40B4-BE49-F238E27FC236}">
                  <a16:creationId xmlns:a16="http://schemas.microsoft.com/office/drawing/2014/main" id="{7A3E9F50-F761-4533-AA8E-7D6D1B2ED894}"/>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8" name="Prostokąt 16">
              <a:extLst>
                <a:ext uri="{FF2B5EF4-FFF2-40B4-BE49-F238E27FC236}">
                  <a16:creationId xmlns:a16="http://schemas.microsoft.com/office/drawing/2014/main" id="{C78D2954-3616-4C63-9085-035FFAD2670B}"/>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9" name="Prostokąt 17">
              <a:extLst>
                <a:ext uri="{FF2B5EF4-FFF2-40B4-BE49-F238E27FC236}">
                  <a16:creationId xmlns:a16="http://schemas.microsoft.com/office/drawing/2014/main" id="{8E254339-31DB-41D5-97B6-D093AAE262F5}"/>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5</xdr:col>
      <xdr:colOff>640038</xdr:colOff>
      <xdr:row>0</xdr:row>
      <xdr:rowOff>133620</xdr:rowOff>
    </xdr:from>
    <xdr:to>
      <xdr:col>8</xdr:col>
      <xdr:colOff>544286</xdr:colOff>
      <xdr:row>2</xdr:row>
      <xdr:rowOff>91969</xdr:rowOff>
    </xdr:to>
    <xdr:sp macro="" textlink="">
      <xdr:nvSpPr>
        <xdr:cNvPr id="10" name="TextBox 9">
          <a:extLst>
            <a:ext uri="{FF2B5EF4-FFF2-40B4-BE49-F238E27FC236}">
              <a16:creationId xmlns:a16="http://schemas.microsoft.com/office/drawing/2014/main" id="{6355BD38-AADA-4CCF-8DE5-AE9F9EB9F8E0}"/>
            </a:ext>
          </a:extLst>
        </xdr:cNvPr>
        <xdr:cNvSpPr txBox="1"/>
      </xdr:nvSpPr>
      <xdr:spPr>
        <a:xfrm>
          <a:off x="4722181" y="133620"/>
          <a:ext cx="2663776" cy="32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Reins PAA Eligibility Check - v2.1</a:t>
          </a:r>
          <a:endParaRPr lang="en-GB" sz="1400" b="1">
            <a:solidFill>
              <a:schemeClr val="accent1">
                <a:lumMod val="75000"/>
              </a:schemeClr>
            </a:solidFill>
          </a:endParaRPr>
        </a:p>
      </xdr:txBody>
    </xdr:sp>
    <xdr:clientData/>
  </xdr:twoCellAnchor>
  <xdr:twoCellAnchor editAs="absolute">
    <xdr:from>
      <xdr:col>8</xdr:col>
      <xdr:colOff>891764</xdr:colOff>
      <xdr:row>0</xdr:row>
      <xdr:rowOff>97425</xdr:rowOff>
    </xdr:from>
    <xdr:to>
      <xdr:col>11</xdr:col>
      <xdr:colOff>99684</xdr:colOff>
      <xdr:row>2</xdr:row>
      <xdr:rowOff>91969</xdr:rowOff>
    </xdr:to>
    <xdr:sp macro="" textlink="">
      <xdr:nvSpPr>
        <xdr:cNvPr id="11" name="TextBox 10">
          <a:hlinkClick xmlns:r="http://schemas.openxmlformats.org/officeDocument/2006/relationships" r:id="rId1"/>
          <a:extLst>
            <a:ext uri="{FF2B5EF4-FFF2-40B4-BE49-F238E27FC236}">
              <a16:creationId xmlns:a16="http://schemas.microsoft.com/office/drawing/2014/main" id="{A557E7AE-93C2-43A3-B0CE-148A1AF202AF}"/>
            </a:ext>
          </a:extLst>
        </xdr:cNvPr>
        <xdr:cNvSpPr txBox="1"/>
      </xdr:nvSpPr>
      <xdr:spPr>
        <a:xfrm>
          <a:off x="7733435" y="97425"/>
          <a:ext cx="1967449" cy="3646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1400" b="1">
              <a:solidFill>
                <a:schemeClr val="tx1">
                  <a:lumMod val="65000"/>
                  <a:lumOff val="35000"/>
                </a:schemeClr>
              </a:solidFill>
            </a:rPr>
            <a:t>[ www.3blocks.co ]</a:t>
          </a:r>
        </a:p>
      </xdr:txBody>
    </xdr:sp>
    <xdr:clientData/>
  </xdr:twoCellAnchor>
  <xdr:twoCellAnchor editAs="absolute">
    <xdr:from>
      <xdr:col>2</xdr:col>
      <xdr:colOff>779446</xdr:colOff>
      <xdr:row>0</xdr:row>
      <xdr:rowOff>133620</xdr:rowOff>
    </xdr:from>
    <xdr:to>
      <xdr:col>5</xdr:col>
      <xdr:colOff>177573</xdr:colOff>
      <xdr:row>2</xdr:row>
      <xdr:rowOff>91969</xdr:rowOff>
    </xdr:to>
    <xdr:sp macro="" textlink="">
      <xdr:nvSpPr>
        <xdr:cNvPr id="12" name="TextBox 20">
          <a:extLst>
            <a:ext uri="{FF2B5EF4-FFF2-40B4-BE49-F238E27FC236}">
              <a16:creationId xmlns:a16="http://schemas.microsoft.com/office/drawing/2014/main" id="{849965A2-C799-4705-A913-8C61654D4AC3}"/>
            </a:ext>
          </a:extLst>
        </xdr:cNvPr>
        <xdr:cNvSpPr txBox="1"/>
      </xdr:nvSpPr>
      <xdr:spPr>
        <a:xfrm>
          <a:off x="2102060" y="133620"/>
          <a:ext cx="2157656" cy="32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tx1"/>
              </a:solidFill>
            </a:rPr>
            <a:t>4-year coverage period</a:t>
          </a:r>
          <a:endParaRPr lang="en-GB" sz="1400" b="1">
            <a:solidFill>
              <a:schemeClr val="tx1"/>
            </a:solidFill>
          </a:endParaRPr>
        </a:p>
      </xdr:txBody>
    </xdr:sp>
    <xdr:clientData/>
  </xdr:twoCellAnchor>
  <xdr:twoCellAnchor editAs="absolute">
    <xdr:from>
      <xdr:col>8</xdr:col>
      <xdr:colOff>98191</xdr:colOff>
      <xdr:row>4</xdr:row>
      <xdr:rowOff>114300</xdr:rowOff>
    </xdr:from>
    <xdr:to>
      <xdr:col>14</xdr:col>
      <xdr:colOff>810707</xdr:colOff>
      <xdr:row>31</xdr:row>
      <xdr:rowOff>45814</xdr:rowOff>
    </xdr:to>
    <xdr:grpSp>
      <xdr:nvGrpSpPr>
        <xdr:cNvPr id="13" name="Group 12">
          <a:extLst>
            <a:ext uri="{FF2B5EF4-FFF2-40B4-BE49-F238E27FC236}">
              <a16:creationId xmlns:a16="http://schemas.microsoft.com/office/drawing/2014/main" id="{305646E5-CA2C-42C5-80C2-6386654F3588}"/>
            </a:ext>
          </a:extLst>
        </xdr:cNvPr>
        <xdr:cNvGrpSpPr/>
      </xdr:nvGrpSpPr>
      <xdr:grpSpPr>
        <a:xfrm>
          <a:off x="6939862" y="854529"/>
          <a:ext cx="6231574" cy="4977042"/>
          <a:chOff x="5878287" y="968829"/>
          <a:chExt cx="5466470" cy="3864429"/>
        </a:xfrm>
      </xdr:grpSpPr>
      <xdr:graphicFrame macro="">
        <xdr:nvGraphicFramePr>
          <xdr:cNvPr id="14" name="Wykres 2">
            <a:extLst>
              <a:ext uri="{FF2B5EF4-FFF2-40B4-BE49-F238E27FC236}">
                <a16:creationId xmlns:a16="http://schemas.microsoft.com/office/drawing/2014/main" id="{69CF9DA8-B266-4C11-8388-E36F961FBA1A}"/>
              </a:ext>
            </a:extLst>
          </xdr:cNvPr>
          <xdr:cNvGraphicFramePr>
            <a:graphicFrameLocks/>
          </xdr:cNvGraphicFramePr>
        </xdr:nvGraphicFramePr>
        <xdr:xfrm>
          <a:off x="5878287" y="1062839"/>
          <a:ext cx="5466470" cy="3770419"/>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5" name="TextBox 31">
            <a:extLst>
              <a:ext uri="{FF2B5EF4-FFF2-40B4-BE49-F238E27FC236}">
                <a16:creationId xmlns:a16="http://schemas.microsoft.com/office/drawing/2014/main" id="{DDE0C1E3-7EC4-47FF-8386-075657A0D4F9}"/>
              </a:ext>
            </a:extLst>
          </xdr:cNvPr>
          <xdr:cNvSpPr txBox="1"/>
        </xdr:nvSpPr>
        <xdr:spPr>
          <a:xfrm>
            <a:off x="6346082" y="968829"/>
            <a:ext cx="2433650"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r>
              <a:rPr lang="en-GB" sz="1100" b="1"/>
              <a:t>Reinsurance AFRC under</a:t>
            </a:r>
            <a:r>
              <a:rPr lang="en-GB" sz="1100" b="1" baseline="0"/>
              <a:t> GMM and PAA</a:t>
            </a:r>
            <a:endParaRPr lang="en-GB" sz="1100" b="1"/>
          </a:p>
        </xdr:txBody>
      </xdr:sp>
    </xdr:grpSp>
    <xdr:clientData/>
  </xdr:twoCellAnchor>
  <xdr:twoCellAnchor editAs="absolute">
    <xdr:from>
      <xdr:col>15</xdr:col>
      <xdr:colOff>130450</xdr:colOff>
      <xdr:row>4</xdr:row>
      <xdr:rowOff>119742</xdr:rowOff>
    </xdr:from>
    <xdr:to>
      <xdr:col>21</xdr:col>
      <xdr:colOff>502679</xdr:colOff>
      <xdr:row>31</xdr:row>
      <xdr:rowOff>45814</xdr:rowOff>
    </xdr:to>
    <xdr:grpSp>
      <xdr:nvGrpSpPr>
        <xdr:cNvPr id="16" name="Group 15">
          <a:extLst>
            <a:ext uri="{FF2B5EF4-FFF2-40B4-BE49-F238E27FC236}">
              <a16:creationId xmlns:a16="http://schemas.microsoft.com/office/drawing/2014/main" id="{96A40959-89DB-4289-A822-BC5CD68DD447}"/>
            </a:ext>
          </a:extLst>
        </xdr:cNvPr>
        <xdr:cNvGrpSpPr/>
      </xdr:nvGrpSpPr>
      <xdr:grpSpPr>
        <a:xfrm>
          <a:off x="13411021" y="859971"/>
          <a:ext cx="5891287" cy="4971600"/>
          <a:chOff x="11826077" y="968829"/>
          <a:chExt cx="5466470" cy="3824547"/>
        </a:xfrm>
      </xdr:grpSpPr>
      <xdr:graphicFrame macro="">
        <xdr:nvGraphicFramePr>
          <xdr:cNvPr id="17" name="Wykres 2">
            <a:extLst>
              <a:ext uri="{FF2B5EF4-FFF2-40B4-BE49-F238E27FC236}">
                <a16:creationId xmlns:a16="http://schemas.microsoft.com/office/drawing/2014/main" id="{13DE90D3-523E-4EF7-94FC-3FB4AF6AD802}"/>
              </a:ext>
            </a:extLst>
          </xdr:cNvPr>
          <xdr:cNvGraphicFramePr>
            <a:graphicFrameLocks/>
          </xdr:cNvGraphicFramePr>
        </xdr:nvGraphicFramePr>
        <xdr:xfrm>
          <a:off x="11826077" y="1092753"/>
          <a:ext cx="5466470" cy="3700623"/>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8" name="TextBox 34">
            <a:extLst>
              <a:ext uri="{FF2B5EF4-FFF2-40B4-BE49-F238E27FC236}">
                <a16:creationId xmlns:a16="http://schemas.microsoft.com/office/drawing/2014/main" id="{B81EDF20-D262-470E-9731-DFA1C9BB5BCC}"/>
              </a:ext>
            </a:extLst>
          </xdr:cNvPr>
          <xdr:cNvSpPr txBox="1"/>
        </xdr:nvSpPr>
        <xdr:spPr>
          <a:xfrm>
            <a:off x="12303097" y="968829"/>
            <a:ext cx="4033943"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Coverage</a:t>
            </a:r>
            <a:r>
              <a:rPr lang="en-GB" sz="1100" b="1" baseline="0">
                <a:solidFill>
                  <a:schemeClr val="dk1"/>
                </a:solidFill>
                <a:effectLst/>
                <a:latin typeface="+mn-lt"/>
                <a:ea typeface="+mn-ea"/>
                <a:cs typeface="+mn-cs"/>
              </a:rPr>
              <a:t> units and risk distribution (including lapses)</a:t>
            </a:r>
            <a:endParaRPr lang="en-GB">
              <a:effectLst/>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323848</xdr:colOff>
      <xdr:row>4</xdr:row>
      <xdr:rowOff>102681</xdr:rowOff>
    </xdr:from>
    <xdr:to>
      <xdr:col>7</xdr:col>
      <xdr:colOff>348342</xdr:colOff>
      <xdr:row>29</xdr:row>
      <xdr:rowOff>181246</xdr:rowOff>
    </xdr:to>
    <xdr:grpSp>
      <xdr:nvGrpSpPr>
        <xdr:cNvPr id="19" name="Group 18">
          <a:extLst>
            <a:ext uri="{FF2B5EF4-FFF2-40B4-BE49-F238E27FC236}">
              <a16:creationId xmlns:a16="http://schemas.microsoft.com/office/drawing/2014/main" id="{6FAA8468-D413-428B-933C-DFE1CE49622F}"/>
            </a:ext>
          </a:extLst>
        </xdr:cNvPr>
        <xdr:cNvGrpSpPr/>
      </xdr:nvGrpSpPr>
      <xdr:grpSpPr>
        <a:xfrm>
          <a:off x="323848" y="842910"/>
          <a:ext cx="5946323" cy="4753979"/>
          <a:chOff x="704848" y="839282"/>
          <a:chExt cx="6104083" cy="4570918"/>
        </a:xfrm>
      </xdr:grpSpPr>
      <xdr:sp macro="" textlink="">
        <xdr:nvSpPr>
          <xdr:cNvPr id="2" name="Rectangle 11">
            <a:extLst>
              <a:ext uri="{FF2B5EF4-FFF2-40B4-BE49-F238E27FC236}">
                <a16:creationId xmlns:a16="http://schemas.microsoft.com/office/drawing/2014/main" id="{6B157BE4-B7C0-44C9-AD85-D94B172D1244}"/>
              </a:ext>
            </a:extLst>
          </xdr:cNvPr>
          <xdr:cNvSpPr/>
        </xdr:nvSpPr>
        <xdr:spPr>
          <a:xfrm>
            <a:off x="704848" y="983086"/>
            <a:ext cx="6104083" cy="4427114"/>
          </a:xfrm>
          <a:prstGeom prst="rect">
            <a:avLst/>
          </a:prstGeom>
          <a:no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3" name="TextBox 12">
            <a:extLst>
              <a:ext uri="{FF2B5EF4-FFF2-40B4-BE49-F238E27FC236}">
                <a16:creationId xmlns:a16="http://schemas.microsoft.com/office/drawing/2014/main" id="{BC263E28-71DA-414E-98D0-E51352153E85}"/>
              </a:ext>
            </a:extLst>
          </xdr:cNvPr>
          <xdr:cNvSpPr txBox="1"/>
        </xdr:nvSpPr>
        <xdr:spPr>
          <a:xfrm>
            <a:off x="927383" y="839282"/>
            <a:ext cx="994646" cy="2585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algn="ctr"/>
            <a:r>
              <a:rPr lang="en-GB" sz="1100" b="1">
                <a:solidFill>
                  <a:schemeClr val="accent1"/>
                </a:solidFill>
              </a:rPr>
              <a:t>Parameters</a:t>
            </a:r>
          </a:p>
        </xdr:txBody>
      </xdr:sp>
    </xdr:grpSp>
    <xdr:clientData/>
  </xdr:twoCellAnchor>
  <xdr:twoCellAnchor editAs="absolute">
    <xdr:from>
      <xdr:col>0</xdr:col>
      <xdr:colOff>285750</xdr:colOff>
      <xdr:row>0</xdr:row>
      <xdr:rowOff>111761</xdr:rowOff>
    </xdr:from>
    <xdr:to>
      <xdr:col>1</xdr:col>
      <xdr:colOff>843867</xdr:colOff>
      <xdr:row>2</xdr:row>
      <xdr:rowOff>58430</xdr:rowOff>
    </xdr:to>
    <xdr:grpSp>
      <xdr:nvGrpSpPr>
        <xdr:cNvPr id="4" name="Group 3">
          <a:hlinkClick xmlns:r="http://schemas.openxmlformats.org/officeDocument/2006/relationships" r:id="rId1"/>
          <a:extLst>
            <a:ext uri="{FF2B5EF4-FFF2-40B4-BE49-F238E27FC236}">
              <a16:creationId xmlns:a16="http://schemas.microsoft.com/office/drawing/2014/main" id="{E8B5AA5D-7FE5-4773-A3AD-D4950070E636}"/>
            </a:ext>
          </a:extLst>
        </xdr:cNvPr>
        <xdr:cNvGrpSpPr/>
      </xdr:nvGrpSpPr>
      <xdr:grpSpPr>
        <a:xfrm>
          <a:off x="285750" y="111761"/>
          <a:ext cx="960888" cy="316783"/>
          <a:chOff x="2292668" y="2740184"/>
          <a:chExt cx="1005208" cy="328666"/>
        </a:xfrm>
        <a:effectLst>
          <a:outerShdw blurRad="50800" dist="50800" dir="5400000" algn="ctr" rotWithShape="0">
            <a:srgbClr val="000000">
              <a:alpha val="0"/>
            </a:srgbClr>
          </a:outerShdw>
        </a:effectLst>
      </xdr:grpSpPr>
      <xdr:sp macro="" textlink="">
        <xdr:nvSpPr>
          <xdr:cNvPr id="5" name="Tytuł 1">
            <a:extLst>
              <a:ext uri="{FF2B5EF4-FFF2-40B4-BE49-F238E27FC236}">
                <a16:creationId xmlns:a16="http://schemas.microsoft.com/office/drawing/2014/main" id="{C05B99A7-66A9-45EC-B745-17BB0B93F4DF}"/>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6" name="Group 5">
            <a:extLst>
              <a:ext uri="{FF2B5EF4-FFF2-40B4-BE49-F238E27FC236}">
                <a16:creationId xmlns:a16="http://schemas.microsoft.com/office/drawing/2014/main" id="{490B22AA-7047-44F9-88A8-EB421451B7C9}"/>
              </a:ext>
            </a:extLst>
          </xdr:cNvPr>
          <xdr:cNvGrpSpPr>
            <a:grpSpLocks noChangeAspect="1"/>
          </xdr:cNvGrpSpPr>
        </xdr:nvGrpSpPr>
        <xdr:grpSpPr>
          <a:xfrm>
            <a:off x="2292668" y="2949307"/>
            <a:ext cx="1005208" cy="119543"/>
            <a:chOff x="2040001" y="3321847"/>
            <a:chExt cx="4540706" cy="540000"/>
          </a:xfrm>
        </xdr:grpSpPr>
        <xdr:sp macro="" textlink="">
          <xdr:nvSpPr>
            <xdr:cNvPr id="7" name="Prostokąt 15">
              <a:extLst>
                <a:ext uri="{FF2B5EF4-FFF2-40B4-BE49-F238E27FC236}">
                  <a16:creationId xmlns:a16="http://schemas.microsoft.com/office/drawing/2014/main" id="{4593CD5D-964D-42FD-B9BB-995D5EF44C92}"/>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8" name="Prostokąt 16">
              <a:extLst>
                <a:ext uri="{FF2B5EF4-FFF2-40B4-BE49-F238E27FC236}">
                  <a16:creationId xmlns:a16="http://schemas.microsoft.com/office/drawing/2014/main" id="{86FF1EAF-1A6D-4C18-BB14-E03DEF97CC85}"/>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9" name="Prostokąt 17">
              <a:extLst>
                <a:ext uri="{FF2B5EF4-FFF2-40B4-BE49-F238E27FC236}">
                  <a16:creationId xmlns:a16="http://schemas.microsoft.com/office/drawing/2014/main" id="{BEA43B58-7F04-4B76-83F4-704669A28B49}"/>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5</xdr:col>
      <xdr:colOff>603753</xdr:colOff>
      <xdr:row>0</xdr:row>
      <xdr:rowOff>133620</xdr:rowOff>
    </xdr:from>
    <xdr:to>
      <xdr:col>8</xdr:col>
      <xdr:colOff>843643</xdr:colOff>
      <xdr:row>2</xdr:row>
      <xdr:rowOff>91969</xdr:rowOff>
    </xdr:to>
    <xdr:sp macro="" textlink="">
      <xdr:nvSpPr>
        <xdr:cNvPr id="10" name="TextBox 9">
          <a:extLst>
            <a:ext uri="{FF2B5EF4-FFF2-40B4-BE49-F238E27FC236}">
              <a16:creationId xmlns:a16="http://schemas.microsoft.com/office/drawing/2014/main" id="{D07C9D01-FB51-4EF3-941A-8BE9246CC439}"/>
            </a:ext>
          </a:extLst>
        </xdr:cNvPr>
        <xdr:cNvSpPr txBox="1"/>
      </xdr:nvSpPr>
      <xdr:spPr>
        <a:xfrm>
          <a:off x="4685896" y="133620"/>
          <a:ext cx="2999418" cy="32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Reins PAA Eligibility Check - v2.1</a:t>
          </a:r>
          <a:endParaRPr lang="en-GB" sz="1400" b="1">
            <a:solidFill>
              <a:schemeClr val="accent1">
                <a:lumMod val="75000"/>
              </a:schemeClr>
            </a:solidFill>
          </a:endParaRPr>
        </a:p>
      </xdr:txBody>
    </xdr:sp>
    <xdr:clientData/>
  </xdr:twoCellAnchor>
  <xdr:twoCellAnchor editAs="absolute">
    <xdr:from>
      <xdr:col>8</xdr:col>
      <xdr:colOff>894484</xdr:colOff>
      <xdr:row>0</xdr:row>
      <xdr:rowOff>97425</xdr:rowOff>
    </xdr:from>
    <xdr:to>
      <xdr:col>11</xdr:col>
      <xdr:colOff>101496</xdr:colOff>
      <xdr:row>2</xdr:row>
      <xdr:rowOff>91969</xdr:rowOff>
    </xdr:to>
    <xdr:sp macro="" textlink="">
      <xdr:nvSpPr>
        <xdr:cNvPr id="11" name="TextBox 10">
          <a:hlinkClick xmlns:r="http://schemas.openxmlformats.org/officeDocument/2006/relationships" r:id="rId1"/>
          <a:extLst>
            <a:ext uri="{FF2B5EF4-FFF2-40B4-BE49-F238E27FC236}">
              <a16:creationId xmlns:a16="http://schemas.microsoft.com/office/drawing/2014/main" id="{452AA8D8-8759-4EBB-904E-3DA06CAF149C}"/>
            </a:ext>
          </a:extLst>
        </xdr:cNvPr>
        <xdr:cNvSpPr txBox="1"/>
      </xdr:nvSpPr>
      <xdr:spPr>
        <a:xfrm>
          <a:off x="7736155" y="97425"/>
          <a:ext cx="1966541" cy="3646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1400" b="1">
              <a:solidFill>
                <a:schemeClr val="tx1">
                  <a:lumMod val="65000"/>
                  <a:lumOff val="35000"/>
                </a:schemeClr>
              </a:solidFill>
            </a:rPr>
            <a:t>[ www.3blocks.co ]</a:t>
          </a:r>
        </a:p>
      </xdr:txBody>
    </xdr:sp>
    <xdr:clientData/>
  </xdr:twoCellAnchor>
  <xdr:twoCellAnchor editAs="absolute">
    <xdr:from>
      <xdr:col>2</xdr:col>
      <xdr:colOff>770373</xdr:colOff>
      <xdr:row>0</xdr:row>
      <xdr:rowOff>133620</xdr:rowOff>
    </xdr:from>
    <xdr:to>
      <xdr:col>5</xdr:col>
      <xdr:colOff>169408</xdr:colOff>
      <xdr:row>2</xdr:row>
      <xdr:rowOff>91969</xdr:rowOff>
    </xdr:to>
    <xdr:sp macro="" textlink="">
      <xdr:nvSpPr>
        <xdr:cNvPr id="12" name="TextBox 20">
          <a:extLst>
            <a:ext uri="{FF2B5EF4-FFF2-40B4-BE49-F238E27FC236}">
              <a16:creationId xmlns:a16="http://schemas.microsoft.com/office/drawing/2014/main" id="{37E627C9-21EE-4770-8657-78D2533AE35F}"/>
            </a:ext>
          </a:extLst>
        </xdr:cNvPr>
        <xdr:cNvSpPr txBox="1"/>
      </xdr:nvSpPr>
      <xdr:spPr>
        <a:xfrm>
          <a:off x="2092987" y="133620"/>
          <a:ext cx="2158564" cy="32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tx1"/>
              </a:solidFill>
            </a:rPr>
            <a:t>3-year coverage period</a:t>
          </a:r>
          <a:endParaRPr lang="en-GB" sz="1400" b="1">
            <a:solidFill>
              <a:schemeClr val="tx1"/>
            </a:solidFill>
          </a:endParaRPr>
        </a:p>
      </xdr:txBody>
    </xdr:sp>
    <xdr:clientData/>
  </xdr:twoCellAnchor>
  <xdr:twoCellAnchor editAs="absolute">
    <xdr:from>
      <xdr:col>8</xdr:col>
      <xdr:colOff>84609</xdr:colOff>
      <xdr:row>4</xdr:row>
      <xdr:rowOff>152400</xdr:rowOff>
    </xdr:from>
    <xdr:to>
      <xdr:col>14</xdr:col>
      <xdr:colOff>798032</xdr:colOff>
      <xdr:row>31</xdr:row>
      <xdr:rowOff>44533</xdr:rowOff>
    </xdr:to>
    <xdr:grpSp>
      <xdr:nvGrpSpPr>
        <xdr:cNvPr id="13" name="Group 12">
          <a:extLst>
            <a:ext uri="{FF2B5EF4-FFF2-40B4-BE49-F238E27FC236}">
              <a16:creationId xmlns:a16="http://schemas.microsoft.com/office/drawing/2014/main" id="{E43873A3-4C55-4232-8BBB-FC35BB3EE6DB}"/>
            </a:ext>
          </a:extLst>
        </xdr:cNvPr>
        <xdr:cNvGrpSpPr/>
      </xdr:nvGrpSpPr>
      <xdr:grpSpPr>
        <a:xfrm>
          <a:off x="6926280" y="892629"/>
          <a:ext cx="6232481" cy="4937661"/>
          <a:chOff x="5878287" y="968829"/>
          <a:chExt cx="5466470" cy="3864429"/>
        </a:xfrm>
      </xdr:grpSpPr>
      <xdr:graphicFrame macro="">
        <xdr:nvGraphicFramePr>
          <xdr:cNvPr id="14" name="Wykres 2">
            <a:extLst>
              <a:ext uri="{FF2B5EF4-FFF2-40B4-BE49-F238E27FC236}">
                <a16:creationId xmlns:a16="http://schemas.microsoft.com/office/drawing/2014/main" id="{FA953729-5BB5-4382-84B9-82B6209888A1}"/>
              </a:ext>
            </a:extLst>
          </xdr:cNvPr>
          <xdr:cNvGraphicFramePr>
            <a:graphicFrameLocks/>
          </xdr:cNvGraphicFramePr>
        </xdr:nvGraphicFramePr>
        <xdr:xfrm>
          <a:off x="5878287" y="1062839"/>
          <a:ext cx="5466470" cy="3770419"/>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5" name="TextBox 31">
            <a:extLst>
              <a:ext uri="{FF2B5EF4-FFF2-40B4-BE49-F238E27FC236}">
                <a16:creationId xmlns:a16="http://schemas.microsoft.com/office/drawing/2014/main" id="{CE625D44-856B-4A7F-9398-FA31DCFEDBBE}"/>
              </a:ext>
            </a:extLst>
          </xdr:cNvPr>
          <xdr:cNvSpPr txBox="1"/>
        </xdr:nvSpPr>
        <xdr:spPr>
          <a:xfrm>
            <a:off x="6346082" y="968829"/>
            <a:ext cx="2433650"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r>
              <a:rPr lang="en-GB" sz="1100" b="1"/>
              <a:t>Reinsurance AFRC under</a:t>
            </a:r>
            <a:r>
              <a:rPr lang="en-GB" sz="1100" b="1" baseline="0"/>
              <a:t> GMM and PAA</a:t>
            </a:r>
            <a:endParaRPr lang="en-GB" sz="1100" b="1"/>
          </a:p>
        </xdr:txBody>
      </xdr:sp>
    </xdr:grpSp>
    <xdr:clientData/>
  </xdr:twoCellAnchor>
  <xdr:twoCellAnchor editAs="absolute">
    <xdr:from>
      <xdr:col>15</xdr:col>
      <xdr:colOff>116868</xdr:colOff>
      <xdr:row>4</xdr:row>
      <xdr:rowOff>133350</xdr:rowOff>
    </xdr:from>
    <xdr:to>
      <xdr:col>21</xdr:col>
      <xdr:colOff>490004</xdr:colOff>
      <xdr:row>31</xdr:row>
      <xdr:rowOff>44533</xdr:rowOff>
    </xdr:to>
    <xdr:grpSp>
      <xdr:nvGrpSpPr>
        <xdr:cNvPr id="16" name="Group 15">
          <a:extLst>
            <a:ext uri="{FF2B5EF4-FFF2-40B4-BE49-F238E27FC236}">
              <a16:creationId xmlns:a16="http://schemas.microsoft.com/office/drawing/2014/main" id="{327F9661-0233-4530-A453-1E049DDA5D7C}"/>
            </a:ext>
          </a:extLst>
        </xdr:cNvPr>
        <xdr:cNvGrpSpPr/>
      </xdr:nvGrpSpPr>
      <xdr:grpSpPr>
        <a:xfrm>
          <a:off x="13397439" y="873579"/>
          <a:ext cx="5892194" cy="4956711"/>
          <a:chOff x="11826077" y="968829"/>
          <a:chExt cx="5466470" cy="3824547"/>
        </a:xfrm>
      </xdr:grpSpPr>
      <xdr:graphicFrame macro="">
        <xdr:nvGraphicFramePr>
          <xdr:cNvPr id="17" name="Wykres 2">
            <a:extLst>
              <a:ext uri="{FF2B5EF4-FFF2-40B4-BE49-F238E27FC236}">
                <a16:creationId xmlns:a16="http://schemas.microsoft.com/office/drawing/2014/main" id="{BC560C18-9CBC-4CA9-830F-542A6D1ADA0A}"/>
              </a:ext>
            </a:extLst>
          </xdr:cNvPr>
          <xdr:cNvGraphicFramePr>
            <a:graphicFrameLocks/>
          </xdr:cNvGraphicFramePr>
        </xdr:nvGraphicFramePr>
        <xdr:xfrm>
          <a:off x="11826077" y="1092753"/>
          <a:ext cx="5466470" cy="3700623"/>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8" name="TextBox 34">
            <a:extLst>
              <a:ext uri="{FF2B5EF4-FFF2-40B4-BE49-F238E27FC236}">
                <a16:creationId xmlns:a16="http://schemas.microsoft.com/office/drawing/2014/main" id="{476CE281-E602-4910-9433-6A65B35AC96E}"/>
              </a:ext>
            </a:extLst>
          </xdr:cNvPr>
          <xdr:cNvSpPr txBox="1"/>
        </xdr:nvSpPr>
        <xdr:spPr>
          <a:xfrm>
            <a:off x="12303097" y="968829"/>
            <a:ext cx="4033943"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Coverage</a:t>
            </a:r>
            <a:r>
              <a:rPr lang="en-GB" sz="1100" b="1" baseline="0">
                <a:solidFill>
                  <a:schemeClr val="dk1"/>
                </a:solidFill>
                <a:effectLst/>
                <a:latin typeface="+mn-lt"/>
                <a:ea typeface="+mn-ea"/>
                <a:cs typeface="+mn-cs"/>
              </a:rPr>
              <a:t> units and risk distribution (including lapses)</a:t>
            </a:r>
            <a:endParaRPr lang="en-GB">
              <a:effectLst/>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327185</xdr:colOff>
      <xdr:row>0</xdr:row>
      <xdr:rowOff>111017</xdr:rowOff>
    </xdr:from>
    <xdr:to>
      <xdr:col>1</xdr:col>
      <xdr:colOff>1001248</xdr:colOff>
      <xdr:row>2</xdr:row>
      <xdr:rowOff>60544</xdr:rowOff>
    </xdr:to>
    <xdr:grpSp>
      <xdr:nvGrpSpPr>
        <xdr:cNvPr id="40" name="Group 3">
          <a:hlinkClick xmlns:r="http://schemas.openxmlformats.org/officeDocument/2006/relationships" r:id="rId1"/>
          <a:extLst>
            <a:ext uri="{FF2B5EF4-FFF2-40B4-BE49-F238E27FC236}">
              <a16:creationId xmlns:a16="http://schemas.microsoft.com/office/drawing/2014/main" id="{BFF3222D-64A3-4AAB-B6A1-EEF7EAF95B29}"/>
            </a:ext>
          </a:extLst>
        </xdr:cNvPr>
        <xdr:cNvGrpSpPr/>
      </xdr:nvGrpSpPr>
      <xdr:grpSpPr>
        <a:xfrm>
          <a:off x="327185" y="111017"/>
          <a:ext cx="1007438" cy="263852"/>
          <a:chOff x="2292668" y="2740184"/>
          <a:chExt cx="1005208" cy="328666"/>
        </a:xfrm>
        <a:effectLst>
          <a:outerShdw blurRad="50800" dist="50800" dir="5400000" algn="ctr" rotWithShape="0">
            <a:srgbClr val="000000">
              <a:alpha val="0"/>
            </a:srgbClr>
          </a:outerShdw>
        </a:effectLst>
      </xdr:grpSpPr>
      <xdr:sp macro="" textlink="">
        <xdr:nvSpPr>
          <xdr:cNvPr id="41" name="Tytuł 1">
            <a:extLst>
              <a:ext uri="{FF2B5EF4-FFF2-40B4-BE49-F238E27FC236}">
                <a16:creationId xmlns:a16="http://schemas.microsoft.com/office/drawing/2014/main" id="{B752F50F-9856-4F63-BF43-EAF0728BAEFC}"/>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42" name="Group 5">
            <a:extLst>
              <a:ext uri="{FF2B5EF4-FFF2-40B4-BE49-F238E27FC236}">
                <a16:creationId xmlns:a16="http://schemas.microsoft.com/office/drawing/2014/main" id="{452F744E-4A48-46C3-BF54-95C335FC88DE}"/>
              </a:ext>
            </a:extLst>
          </xdr:cNvPr>
          <xdr:cNvGrpSpPr>
            <a:grpSpLocks noChangeAspect="1"/>
          </xdr:cNvGrpSpPr>
        </xdr:nvGrpSpPr>
        <xdr:grpSpPr>
          <a:xfrm>
            <a:off x="2292668" y="2949307"/>
            <a:ext cx="1005208" cy="119543"/>
            <a:chOff x="2040001" y="3321847"/>
            <a:chExt cx="4540706" cy="540000"/>
          </a:xfrm>
        </xdr:grpSpPr>
        <xdr:sp macro="" textlink="">
          <xdr:nvSpPr>
            <xdr:cNvPr id="43" name="Prostokąt 15">
              <a:extLst>
                <a:ext uri="{FF2B5EF4-FFF2-40B4-BE49-F238E27FC236}">
                  <a16:creationId xmlns:a16="http://schemas.microsoft.com/office/drawing/2014/main" id="{D8979F4E-24CC-42E7-B902-3E5C153962C2}"/>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44" name="Prostokąt 16">
              <a:extLst>
                <a:ext uri="{FF2B5EF4-FFF2-40B4-BE49-F238E27FC236}">
                  <a16:creationId xmlns:a16="http://schemas.microsoft.com/office/drawing/2014/main" id="{F8A54544-46C9-4676-949D-0E9BAE109237}"/>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45" name="Prostokąt 17">
              <a:extLst>
                <a:ext uri="{FF2B5EF4-FFF2-40B4-BE49-F238E27FC236}">
                  <a16:creationId xmlns:a16="http://schemas.microsoft.com/office/drawing/2014/main" id="{B43E771F-D8C8-429A-8AC6-35E1582EBF4F}"/>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2</xdr:col>
      <xdr:colOff>2072473</xdr:colOff>
      <xdr:row>0</xdr:row>
      <xdr:rowOff>117636</xdr:rowOff>
    </xdr:from>
    <xdr:to>
      <xdr:col>2</xdr:col>
      <xdr:colOff>4719636</xdr:colOff>
      <xdr:row>2</xdr:row>
      <xdr:rowOff>111228</xdr:rowOff>
    </xdr:to>
    <xdr:sp macro="" textlink="">
      <xdr:nvSpPr>
        <xdr:cNvPr id="46" name="TextBox 9">
          <a:extLst>
            <a:ext uri="{FF2B5EF4-FFF2-40B4-BE49-F238E27FC236}">
              <a16:creationId xmlns:a16="http://schemas.microsoft.com/office/drawing/2014/main" id="{1A994C78-76C7-4FB2-843D-0512C317454D}"/>
            </a:ext>
          </a:extLst>
        </xdr:cNvPr>
        <xdr:cNvSpPr txBox="1"/>
      </xdr:nvSpPr>
      <xdr:spPr>
        <a:xfrm>
          <a:off x="4172736" y="117636"/>
          <a:ext cx="2647163" cy="3555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Reins PAA Eligibility Check - v2.1</a:t>
          </a:r>
          <a:endParaRPr lang="en-GB" sz="1400" b="1">
            <a:solidFill>
              <a:schemeClr val="accent1">
                <a:lumMod val="75000"/>
              </a:schemeClr>
            </a:solidFill>
          </a:endParaRPr>
        </a:p>
      </xdr:txBody>
    </xdr:sp>
    <xdr:clientData/>
  </xdr:twoCellAnchor>
  <xdr:twoCellAnchor editAs="absolute">
    <xdr:from>
      <xdr:col>2</xdr:col>
      <xdr:colOff>4820144</xdr:colOff>
      <xdr:row>0</xdr:row>
      <xdr:rowOff>96681</xdr:rowOff>
    </xdr:from>
    <xdr:to>
      <xdr:col>2</xdr:col>
      <xdr:colOff>6725229</xdr:colOff>
      <xdr:row>2</xdr:row>
      <xdr:rowOff>111228</xdr:rowOff>
    </xdr:to>
    <xdr:sp macro="" textlink="">
      <xdr:nvSpPr>
        <xdr:cNvPr id="47" name="TextBox 10">
          <a:hlinkClick xmlns:r="http://schemas.openxmlformats.org/officeDocument/2006/relationships" r:id="rId1"/>
          <a:extLst>
            <a:ext uri="{FF2B5EF4-FFF2-40B4-BE49-F238E27FC236}">
              <a16:creationId xmlns:a16="http://schemas.microsoft.com/office/drawing/2014/main" id="{C6DEB00F-36B8-40BB-BB07-3606AAD25FE5}"/>
            </a:ext>
          </a:extLst>
        </xdr:cNvPr>
        <xdr:cNvSpPr txBox="1"/>
      </xdr:nvSpPr>
      <xdr:spPr>
        <a:xfrm>
          <a:off x="6920407" y="96681"/>
          <a:ext cx="1905085" cy="3764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1400" b="1">
              <a:solidFill>
                <a:schemeClr val="tx1">
                  <a:lumMod val="65000"/>
                  <a:lumOff val="35000"/>
                </a:schemeClr>
              </a:solidFill>
            </a:rPr>
            <a:t>[ www.3blocks.co ]</a:t>
          </a:r>
        </a:p>
      </xdr:txBody>
    </xdr:sp>
    <xdr:clientData/>
  </xdr:twoCellAnchor>
  <xdr:twoCellAnchor editAs="absolute">
    <xdr:from>
      <xdr:col>1</xdr:col>
      <xdr:colOff>1384325</xdr:colOff>
      <xdr:row>0</xdr:row>
      <xdr:rowOff>117636</xdr:rowOff>
    </xdr:from>
    <xdr:to>
      <xdr:col>2</xdr:col>
      <xdr:colOff>1765303</xdr:colOff>
      <xdr:row>2</xdr:row>
      <xdr:rowOff>111228</xdr:rowOff>
    </xdr:to>
    <xdr:sp macro="" textlink="">
      <xdr:nvSpPr>
        <xdr:cNvPr id="48" name="TextBox 20">
          <a:extLst>
            <a:ext uri="{FF2B5EF4-FFF2-40B4-BE49-F238E27FC236}">
              <a16:creationId xmlns:a16="http://schemas.microsoft.com/office/drawing/2014/main" id="{5100A068-3893-4DC1-9E3F-81DD070007AD}"/>
            </a:ext>
          </a:extLst>
        </xdr:cNvPr>
        <xdr:cNvSpPr txBox="1"/>
      </xdr:nvSpPr>
      <xdr:spPr>
        <a:xfrm>
          <a:off x="1687220" y="117636"/>
          <a:ext cx="2051663" cy="3269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400" b="1" baseline="0">
              <a:solidFill>
                <a:schemeClr val="tx1"/>
              </a:solidFill>
            </a:rPr>
            <a:t>Input instruction</a:t>
          </a:r>
          <a:r>
            <a:rPr lang="en-GB" sz="1400" b="1" baseline="0">
              <a:solidFill>
                <a:schemeClr val="tx1"/>
              </a:solidFill>
            </a:rPr>
            <a:t>s</a:t>
          </a:r>
          <a:endParaRPr lang="en-GB" sz="1400" b="1">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absolute">
    <xdr:from>
      <xdr:col>1</xdr:col>
      <xdr:colOff>7620</xdr:colOff>
      <xdr:row>0</xdr:row>
      <xdr:rowOff>79106</xdr:rowOff>
    </xdr:from>
    <xdr:to>
      <xdr:col>2</xdr:col>
      <xdr:colOff>375658</xdr:colOff>
      <xdr:row>2</xdr:row>
      <xdr:rowOff>57797</xdr:rowOff>
    </xdr:to>
    <xdr:grpSp>
      <xdr:nvGrpSpPr>
        <xdr:cNvPr id="2" name="Group 1">
          <a:hlinkClick xmlns:r="http://schemas.openxmlformats.org/officeDocument/2006/relationships" r:id="rId1"/>
          <a:extLst>
            <a:ext uri="{FF2B5EF4-FFF2-40B4-BE49-F238E27FC236}">
              <a16:creationId xmlns:a16="http://schemas.microsoft.com/office/drawing/2014/main" id="{7C3A6450-DF33-41B5-B4F4-CEB427DA676A}"/>
            </a:ext>
          </a:extLst>
        </xdr:cNvPr>
        <xdr:cNvGrpSpPr/>
      </xdr:nvGrpSpPr>
      <xdr:grpSpPr>
        <a:xfrm>
          <a:off x="383177" y="79106"/>
          <a:ext cx="1021181" cy="305262"/>
          <a:chOff x="2292668" y="2740184"/>
          <a:chExt cx="1005208" cy="328666"/>
        </a:xfrm>
        <a:effectLst>
          <a:outerShdw blurRad="50800" dist="50800" dir="5400000" algn="ctr" rotWithShape="0">
            <a:srgbClr val="000000">
              <a:alpha val="0"/>
            </a:srgbClr>
          </a:outerShdw>
        </a:effectLst>
      </xdr:grpSpPr>
      <xdr:sp macro="" textlink="">
        <xdr:nvSpPr>
          <xdr:cNvPr id="3" name="Tytuł 1">
            <a:extLst>
              <a:ext uri="{FF2B5EF4-FFF2-40B4-BE49-F238E27FC236}">
                <a16:creationId xmlns:a16="http://schemas.microsoft.com/office/drawing/2014/main" id="{6216AE06-BF8C-47E7-BEF3-A489FB7AD2E9}"/>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4" name="Group 3">
            <a:extLst>
              <a:ext uri="{FF2B5EF4-FFF2-40B4-BE49-F238E27FC236}">
                <a16:creationId xmlns:a16="http://schemas.microsoft.com/office/drawing/2014/main" id="{16958284-BAE5-4F98-B784-0820B372E472}"/>
              </a:ext>
            </a:extLst>
          </xdr:cNvPr>
          <xdr:cNvGrpSpPr>
            <a:grpSpLocks noChangeAspect="1"/>
          </xdr:cNvGrpSpPr>
        </xdr:nvGrpSpPr>
        <xdr:grpSpPr>
          <a:xfrm>
            <a:off x="2292668" y="2949307"/>
            <a:ext cx="1005208" cy="119543"/>
            <a:chOff x="2040001" y="3321847"/>
            <a:chExt cx="4540706" cy="540000"/>
          </a:xfrm>
        </xdr:grpSpPr>
        <xdr:sp macro="" textlink="">
          <xdr:nvSpPr>
            <xdr:cNvPr id="5" name="Prostokąt 15">
              <a:extLst>
                <a:ext uri="{FF2B5EF4-FFF2-40B4-BE49-F238E27FC236}">
                  <a16:creationId xmlns:a16="http://schemas.microsoft.com/office/drawing/2014/main" id="{63170D60-4DAA-4AB1-9218-9946BE2B30A0}"/>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6" name="Prostokąt 16">
              <a:extLst>
                <a:ext uri="{FF2B5EF4-FFF2-40B4-BE49-F238E27FC236}">
                  <a16:creationId xmlns:a16="http://schemas.microsoft.com/office/drawing/2014/main" id="{8CEFAA90-9F3A-4FDF-B7EB-E89284B043DC}"/>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7" name="Prostokąt 17">
              <a:extLst>
                <a:ext uri="{FF2B5EF4-FFF2-40B4-BE49-F238E27FC236}">
                  <a16:creationId xmlns:a16="http://schemas.microsoft.com/office/drawing/2014/main" id="{50FF561B-A0FC-429D-8E83-08FB69361451}"/>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2</xdr:col>
      <xdr:colOff>2917024</xdr:colOff>
      <xdr:row>0</xdr:row>
      <xdr:rowOff>91440</xdr:rowOff>
    </xdr:from>
    <xdr:to>
      <xdr:col>7</xdr:col>
      <xdr:colOff>33866</xdr:colOff>
      <xdr:row>2</xdr:row>
      <xdr:rowOff>108481</xdr:rowOff>
    </xdr:to>
    <xdr:sp macro="" textlink="">
      <xdr:nvSpPr>
        <xdr:cNvPr id="8" name="TextBox 7">
          <a:extLst>
            <a:ext uri="{FF2B5EF4-FFF2-40B4-BE49-F238E27FC236}">
              <a16:creationId xmlns:a16="http://schemas.microsoft.com/office/drawing/2014/main" id="{DCA23035-4FA2-453A-8A14-DA57CA9DE7F2}"/>
            </a:ext>
          </a:extLst>
        </xdr:cNvPr>
        <xdr:cNvSpPr txBox="1"/>
      </xdr:nvSpPr>
      <xdr:spPr>
        <a:xfrm>
          <a:off x="3941491" y="91440"/>
          <a:ext cx="2730242" cy="3472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Reins PAA Eligibility Check - v2.1</a:t>
          </a:r>
          <a:endParaRPr lang="en-GB" sz="1400" b="1">
            <a:solidFill>
              <a:schemeClr val="accent1">
                <a:lumMod val="75000"/>
              </a:schemeClr>
            </a:solidFill>
          </a:endParaRPr>
        </a:p>
      </xdr:txBody>
    </xdr:sp>
    <xdr:clientData/>
  </xdr:twoCellAnchor>
  <xdr:twoCellAnchor editAs="absolute">
    <xdr:from>
      <xdr:col>7</xdr:col>
      <xdr:colOff>408483</xdr:colOff>
      <xdr:row>0</xdr:row>
      <xdr:rowOff>76200</xdr:rowOff>
    </xdr:from>
    <xdr:to>
      <xdr:col>10</xdr:col>
      <xdr:colOff>466724</xdr:colOff>
      <xdr:row>2</xdr:row>
      <xdr:rowOff>93241</xdr:rowOff>
    </xdr:to>
    <xdr:sp macro="" textlink="">
      <xdr:nvSpPr>
        <xdr:cNvPr id="9" name="TextBox 8">
          <a:hlinkClick xmlns:r="http://schemas.openxmlformats.org/officeDocument/2006/relationships" r:id="rId1"/>
          <a:extLst>
            <a:ext uri="{FF2B5EF4-FFF2-40B4-BE49-F238E27FC236}">
              <a16:creationId xmlns:a16="http://schemas.microsoft.com/office/drawing/2014/main" id="{EF2500AA-F26F-4A25-8CC8-949259AA037E}"/>
            </a:ext>
          </a:extLst>
        </xdr:cNvPr>
        <xdr:cNvSpPr txBox="1"/>
      </xdr:nvSpPr>
      <xdr:spPr>
        <a:xfrm>
          <a:off x="7041693" y="76200"/>
          <a:ext cx="2047061" cy="344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a:solidFill>
                <a:schemeClr val="tx1">
                  <a:lumMod val="65000"/>
                  <a:lumOff val="35000"/>
                </a:schemeClr>
              </a:solidFill>
            </a:rPr>
            <a:t>[ www.3blocks.co ]</a:t>
          </a:r>
        </a:p>
      </xdr:txBody>
    </xdr:sp>
    <xdr:clientData/>
  </xdr:twoCellAnchor>
  <xdr:twoCellAnchor editAs="absolute">
    <xdr:from>
      <xdr:col>2</xdr:col>
      <xdr:colOff>840106</xdr:colOff>
      <xdr:row>0</xdr:row>
      <xdr:rowOff>91440</xdr:rowOff>
    </xdr:from>
    <xdr:to>
      <xdr:col>2</xdr:col>
      <xdr:colOff>2366433</xdr:colOff>
      <xdr:row>2</xdr:row>
      <xdr:rowOff>108481</xdr:rowOff>
    </xdr:to>
    <xdr:sp macro="" textlink="">
      <xdr:nvSpPr>
        <xdr:cNvPr id="10" name="TextBox 9">
          <a:extLst>
            <a:ext uri="{FF2B5EF4-FFF2-40B4-BE49-F238E27FC236}">
              <a16:creationId xmlns:a16="http://schemas.microsoft.com/office/drawing/2014/main" id="{A09CD65F-4F4E-480C-AF3E-7BE3D8107705}"/>
            </a:ext>
          </a:extLst>
        </xdr:cNvPr>
        <xdr:cNvSpPr txBox="1"/>
      </xdr:nvSpPr>
      <xdr:spPr>
        <a:xfrm>
          <a:off x="1864573" y="91440"/>
          <a:ext cx="1526327" cy="3472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baseline="0">
              <a:solidFill>
                <a:schemeClr val="tx1"/>
              </a:solidFill>
            </a:rPr>
            <a:t>Checks</a:t>
          </a:r>
          <a:endParaRPr lang="en-GB" sz="1400" b="1">
            <a:solidFill>
              <a:schemeClr val="tx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absolute">
    <xdr:from>
      <xdr:col>1</xdr:col>
      <xdr:colOff>7620</xdr:colOff>
      <xdr:row>0</xdr:row>
      <xdr:rowOff>79106</xdr:rowOff>
    </xdr:from>
    <xdr:to>
      <xdr:col>2</xdr:col>
      <xdr:colOff>653788</xdr:colOff>
      <xdr:row>2</xdr:row>
      <xdr:rowOff>57797</xdr:rowOff>
    </xdr:to>
    <xdr:grpSp>
      <xdr:nvGrpSpPr>
        <xdr:cNvPr id="2" name="Group 1">
          <a:hlinkClick xmlns:r="http://schemas.openxmlformats.org/officeDocument/2006/relationships" r:id="rId1"/>
          <a:extLst>
            <a:ext uri="{FF2B5EF4-FFF2-40B4-BE49-F238E27FC236}">
              <a16:creationId xmlns:a16="http://schemas.microsoft.com/office/drawing/2014/main" id="{00000000-0008-0000-0A00-000002000000}"/>
            </a:ext>
          </a:extLst>
        </xdr:cNvPr>
        <xdr:cNvGrpSpPr/>
      </xdr:nvGrpSpPr>
      <xdr:grpSpPr>
        <a:xfrm>
          <a:off x="383177" y="79106"/>
          <a:ext cx="1021725" cy="305262"/>
          <a:chOff x="2292668" y="2740184"/>
          <a:chExt cx="1005208" cy="328666"/>
        </a:xfrm>
        <a:effectLst>
          <a:outerShdw blurRad="50800" dist="50800" dir="5400000" algn="ctr" rotWithShape="0">
            <a:srgbClr val="000000">
              <a:alpha val="0"/>
            </a:srgbClr>
          </a:outerShdw>
        </a:effectLst>
      </xdr:grpSpPr>
      <xdr:sp macro="" textlink="">
        <xdr:nvSpPr>
          <xdr:cNvPr id="3" name="Tytuł 1">
            <a:extLst>
              <a:ext uri="{FF2B5EF4-FFF2-40B4-BE49-F238E27FC236}">
                <a16:creationId xmlns:a16="http://schemas.microsoft.com/office/drawing/2014/main" id="{00000000-0008-0000-0A00-000003000000}"/>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4" name="Group 3">
            <a:extLst>
              <a:ext uri="{FF2B5EF4-FFF2-40B4-BE49-F238E27FC236}">
                <a16:creationId xmlns:a16="http://schemas.microsoft.com/office/drawing/2014/main" id="{00000000-0008-0000-0A00-000004000000}"/>
              </a:ext>
            </a:extLst>
          </xdr:cNvPr>
          <xdr:cNvGrpSpPr>
            <a:grpSpLocks noChangeAspect="1"/>
          </xdr:cNvGrpSpPr>
        </xdr:nvGrpSpPr>
        <xdr:grpSpPr>
          <a:xfrm>
            <a:off x="2292668" y="2949307"/>
            <a:ext cx="1005208" cy="119543"/>
            <a:chOff x="2040001" y="3321847"/>
            <a:chExt cx="4540706" cy="540000"/>
          </a:xfrm>
        </xdr:grpSpPr>
        <xdr:sp macro="" textlink="">
          <xdr:nvSpPr>
            <xdr:cNvPr id="5" name="Prostokąt 15">
              <a:extLst>
                <a:ext uri="{FF2B5EF4-FFF2-40B4-BE49-F238E27FC236}">
                  <a16:creationId xmlns:a16="http://schemas.microsoft.com/office/drawing/2014/main" id="{00000000-0008-0000-0A00-000005000000}"/>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6" name="Prostokąt 16">
              <a:extLst>
                <a:ext uri="{FF2B5EF4-FFF2-40B4-BE49-F238E27FC236}">
                  <a16:creationId xmlns:a16="http://schemas.microsoft.com/office/drawing/2014/main" id="{00000000-0008-0000-0A00-000006000000}"/>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7" name="Prostokąt 17">
              <a:extLst>
                <a:ext uri="{FF2B5EF4-FFF2-40B4-BE49-F238E27FC236}">
                  <a16:creationId xmlns:a16="http://schemas.microsoft.com/office/drawing/2014/main" id="{00000000-0008-0000-0A00-000007000000}"/>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6</xdr:col>
      <xdr:colOff>544662</xdr:colOff>
      <xdr:row>0</xdr:row>
      <xdr:rowOff>91440</xdr:rowOff>
    </xdr:from>
    <xdr:to>
      <xdr:col>10</xdr:col>
      <xdr:colOff>262890</xdr:colOff>
      <xdr:row>2</xdr:row>
      <xdr:rowOff>108481</xdr:rowOff>
    </xdr:to>
    <xdr:sp macro="" textlink="">
      <xdr:nvSpPr>
        <xdr:cNvPr id="8" name="TextBox 7">
          <a:extLst>
            <a:ext uri="{FF2B5EF4-FFF2-40B4-BE49-F238E27FC236}">
              <a16:creationId xmlns:a16="http://schemas.microsoft.com/office/drawing/2014/main" id="{00000000-0008-0000-0A00-000008000000}"/>
            </a:ext>
          </a:extLst>
        </xdr:cNvPr>
        <xdr:cNvSpPr txBox="1"/>
      </xdr:nvSpPr>
      <xdr:spPr>
        <a:xfrm>
          <a:off x="4232742" y="91440"/>
          <a:ext cx="2659548" cy="344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Reins PAA Eligibility Check - v2.1</a:t>
          </a:r>
          <a:endParaRPr lang="en-GB" sz="1400" b="1">
            <a:solidFill>
              <a:schemeClr val="accent1">
                <a:lumMod val="75000"/>
              </a:schemeClr>
            </a:solidFill>
          </a:endParaRPr>
        </a:p>
      </xdr:txBody>
    </xdr:sp>
    <xdr:clientData/>
  </xdr:twoCellAnchor>
  <xdr:twoCellAnchor editAs="absolute">
    <xdr:from>
      <xdr:col>10</xdr:col>
      <xdr:colOff>412293</xdr:colOff>
      <xdr:row>0</xdr:row>
      <xdr:rowOff>76200</xdr:rowOff>
    </xdr:from>
    <xdr:to>
      <xdr:col>13</xdr:col>
      <xdr:colOff>470534</xdr:colOff>
      <xdr:row>2</xdr:row>
      <xdr:rowOff>93241</xdr:rowOff>
    </xdr:to>
    <xdr:sp macro="" textlink="">
      <xdr:nvSpPr>
        <xdr:cNvPr id="9" name="TextBox 8">
          <a:hlinkClick xmlns:r="http://schemas.openxmlformats.org/officeDocument/2006/relationships" r:id="rId1"/>
          <a:extLst>
            <a:ext uri="{FF2B5EF4-FFF2-40B4-BE49-F238E27FC236}">
              <a16:creationId xmlns:a16="http://schemas.microsoft.com/office/drawing/2014/main" id="{00000000-0008-0000-0A00-000009000000}"/>
            </a:ext>
          </a:extLst>
        </xdr:cNvPr>
        <xdr:cNvSpPr txBox="1"/>
      </xdr:nvSpPr>
      <xdr:spPr>
        <a:xfrm>
          <a:off x="6658788" y="76200"/>
          <a:ext cx="1932761" cy="3675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a:solidFill>
                <a:schemeClr val="tx1">
                  <a:lumMod val="65000"/>
                  <a:lumOff val="35000"/>
                </a:schemeClr>
              </a:solidFill>
            </a:rPr>
            <a:t>[ www.3blocks.co ]</a:t>
          </a:r>
        </a:p>
      </xdr:txBody>
    </xdr:sp>
    <xdr:clientData/>
  </xdr:twoCellAnchor>
  <xdr:twoCellAnchor editAs="absolute">
    <xdr:from>
      <xdr:col>3</xdr:col>
      <xdr:colOff>165736</xdr:colOff>
      <xdr:row>0</xdr:row>
      <xdr:rowOff>91440</xdr:rowOff>
    </xdr:from>
    <xdr:to>
      <xdr:col>6</xdr:col>
      <xdr:colOff>41910</xdr:colOff>
      <xdr:row>2</xdr:row>
      <xdr:rowOff>108481</xdr:rowOff>
    </xdr:to>
    <xdr:sp macro="" textlink="">
      <xdr:nvSpPr>
        <xdr:cNvPr id="10" name="TextBox 9">
          <a:extLst>
            <a:ext uri="{FF2B5EF4-FFF2-40B4-BE49-F238E27FC236}">
              <a16:creationId xmlns:a16="http://schemas.microsoft.com/office/drawing/2014/main" id="{00000000-0008-0000-0A00-00000A000000}"/>
            </a:ext>
          </a:extLst>
        </xdr:cNvPr>
        <xdr:cNvSpPr txBox="1"/>
      </xdr:nvSpPr>
      <xdr:spPr>
        <a:xfrm>
          <a:off x="1864996" y="91440"/>
          <a:ext cx="1864994" cy="344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baseline="0">
              <a:solidFill>
                <a:schemeClr val="tx1"/>
              </a:solidFill>
            </a:rPr>
            <a:t>Abbreviations</a:t>
          </a:r>
          <a:endParaRPr lang="en-GB" sz="1400" b="1">
            <a:solidFill>
              <a:schemeClr val="tx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absolute">
    <xdr:from>
      <xdr:col>1</xdr:col>
      <xdr:colOff>32657</xdr:colOff>
      <xdr:row>0</xdr:row>
      <xdr:rowOff>122650</xdr:rowOff>
    </xdr:from>
    <xdr:to>
      <xdr:col>3</xdr:col>
      <xdr:colOff>255642</xdr:colOff>
      <xdr:row>2</xdr:row>
      <xdr:rowOff>57798</xdr:rowOff>
    </xdr:to>
    <xdr:grpSp>
      <xdr:nvGrpSpPr>
        <xdr:cNvPr id="2" name="Group 1">
          <a:hlinkClick xmlns:r="http://schemas.openxmlformats.org/officeDocument/2006/relationships" r:id="rId1"/>
          <a:extLst>
            <a:ext uri="{FF2B5EF4-FFF2-40B4-BE49-F238E27FC236}">
              <a16:creationId xmlns:a16="http://schemas.microsoft.com/office/drawing/2014/main" id="{00000000-0008-0000-0900-000002000000}"/>
            </a:ext>
          </a:extLst>
        </xdr:cNvPr>
        <xdr:cNvGrpSpPr/>
      </xdr:nvGrpSpPr>
      <xdr:grpSpPr>
        <a:xfrm>
          <a:off x="342900" y="122650"/>
          <a:ext cx="1050299" cy="327034"/>
          <a:chOff x="2292668" y="2740184"/>
          <a:chExt cx="1005208" cy="328666"/>
        </a:xfrm>
        <a:effectLst>
          <a:outerShdw blurRad="50800" dist="50800" dir="5400000" algn="ctr" rotWithShape="0">
            <a:srgbClr val="000000">
              <a:alpha val="0"/>
            </a:srgbClr>
          </a:outerShdw>
        </a:effectLst>
      </xdr:grpSpPr>
      <xdr:sp macro="" textlink="">
        <xdr:nvSpPr>
          <xdr:cNvPr id="3" name="Tytuł 1">
            <a:extLst>
              <a:ext uri="{FF2B5EF4-FFF2-40B4-BE49-F238E27FC236}">
                <a16:creationId xmlns:a16="http://schemas.microsoft.com/office/drawing/2014/main" id="{00000000-0008-0000-0900-000003000000}"/>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4" name="Group 3">
            <a:extLst>
              <a:ext uri="{FF2B5EF4-FFF2-40B4-BE49-F238E27FC236}">
                <a16:creationId xmlns:a16="http://schemas.microsoft.com/office/drawing/2014/main" id="{00000000-0008-0000-0900-000004000000}"/>
              </a:ext>
            </a:extLst>
          </xdr:cNvPr>
          <xdr:cNvGrpSpPr>
            <a:grpSpLocks noChangeAspect="1"/>
          </xdr:cNvGrpSpPr>
        </xdr:nvGrpSpPr>
        <xdr:grpSpPr>
          <a:xfrm>
            <a:off x="2292668" y="2949307"/>
            <a:ext cx="1005208" cy="119543"/>
            <a:chOff x="2040001" y="3321847"/>
            <a:chExt cx="4540706" cy="540000"/>
          </a:xfrm>
        </xdr:grpSpPr>
        <xdr:sp macro="" textlink="">
          <xdr:nvSpPr>
            <xdr:cNvPr id="5" name="Prostokąt 15">
              <a:extLst>
                <a:ext uri="{FF2B5EF4-FFF2-40B4-BE49-F238E27FC236}">
                  <a16:creationId xmlns:a16="http://schemas.microsoft.com/office/drawing/2014/main" id="{00000000-0008-0000-0900-000005000000}"/>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6" name="Prostokąt 16">
              <a:extLst>
                <a:ext uri="{FF2B5EF4-FFF2-40B4-BE49-F238E27FC236}">
                  <a16:creationId xmlns:a16="http://schemas.microsoft.com/office/drawing/2014/main" id="{00000000-0008-0000-0900-000006000000}"/>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7" name="Prostokąt 17">
              <a:extLst>
                <a:ext uri="{FF2B5EF4-FFF2-40B4-BE49-F238E27FC236}">
                  <a16:creationId xmlns:a16="http://schemas.microsoft.com/office/drawing/2014/main" id="{00000000-0008-0000-0900-000007000000}"/>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4</xdr:col>
      <xdr:colOff>2514600</xdr:colOff>
      <xdr:row>0</xdr:row>
      <xdr:rowOff>134984</xdr:rowOff>
    </xdr:from>
    <xdr:to>
      <xdr:col>4</xdr:col>
      <xdr:colOff>5181600</xdr:colOff>
      <xdr:row>2</xdr:row>
      <xdr:rowOff>108482</xdr:rowOff>
    </xdr:to>
    <xdr:sp macro="" textlink="">
      <xdr:nvSpPr>
        <xdr:cNvPr id="8" name="TextBox 7">
          <a:extLst>
            <a:ext uri="{FF2B5EF4-FFF2-40B4-BE49-F238E27FC236}">
              <a16:creationId xmlns:a16="http://schemas.microsoft.com/office/drawing/2014/main" id="{00000000-0008-0000-0900-000008000000}"/>
            </a:ext>
          </a:extLst>
        </xdr:cNvPr>
        <xdr:cNvSpPr txBox="1"/>
      </xdr:nvSpPr>
      <xdr:spPr>
        <a:xfrm>
          <a:off x="3950970" y="134984"/>
          <a:ext cx="2667000" cy="3697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Reins PAA Eligibility Check - v2.1</a:t>
          </a:r>
          <a:endParaRPr lang="en-GB" sz="1400" b="1">
            <a:solidFill>
              <a:schemeClr val="accent1">
                <a:lumMod val="75000"/>
              </a:schemeClr>
            </a:solidFill>
          </a:endParaRPr>
        </a:p>
      </xdr:txBody>
    </xdr:sp>
    <xdr:clientData/>
  </xdr:twoCellAnchor>
  <xdr:twoCellAnchor editAs="absolute">
    <xdr:from>
      <xdr:col>4</xdr:col>
      <xdr:colOff>5228405</xdr:colOff>
      <xdr:row>0</xdr:row>
      <xdr:rowOff>119744</xdr:rowOff>
    </xdr:from>
    <xdr:to>
      <xdr:col>4</xdr:col>
      <xdr:colOff>7148103</xdr:colOff>
      <xdr:row>2</xdr:row>
      <xdr:rowOff>93242</xdr:rowOff>
    </xdr:to>
    <xdr:sp macro="" textlink="">
      <xdr:nvSpPr>
        <xdr:cNvPr id="9" name="TextBox 8">
          <a:hlinkClick xmlns:r="http://schemas.openxmlformats.org/officeDocument/2006/relationships" r:id="rId1"/>
          <a:extLst>
            <a:ext uri="{FF2B5EF4-FFF2-40B4-BE49-F238E27FC236}">
              <a16:creationId xmlns:a16="http://schemas.microsoft.com/office/drawing/2014/main" id="{00000000-0008-0000-0900-000009000000}"/>
            </a:ext>
          </a:extLst>
        </xdr:cNvPr>
        <xdr:cNvSpPr txBox="1"/>
      </xdr:nvSpPr>
      <xdr:spPr>
        <a:xfrm>
          <a:off x="6589119" y="119744"/>
          <a:ext cx="1919698" cy="3653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a:solidFill>
                <a:schemeClr val="tx1">
                  <a:lumMod val="65000"/>
                  <a:lumOff val="35000"/>
                </a:schemeClr>
              </a:solidFill>
            </a:rPr>
            <a:t>[ www.3blocks.co ]</a:t>
          </a:r>
        </a:p>
      </xdr:txBody>
    </xdr:sp>
    <xdr:clientData/>
  </xdr:twoCellAnchor>
  <xdr:twoCellAnchor editAs="absolute">
    <xdr:from>
      <xdr:col>4</xdr:col>
      <xdr:colOff>379913</xdr:colOff>
      <xdr:row>0</xdr:row>
      <xdr:rowOff>134984</xdr:rowOff>
    </xdr:from>
    <xdr:to>
      <xdr:col>4</xdr:col>
      <xdr:colOff>2194560</xdr:colOff>
      <xdr:row>2</xdr:row>
      <xdr:rowOff>108482</xdr:rowOff>
    </xdr:to>
    <xdr:sp macro="" textlink="">
      <xdr:nvSpPr>
        <xdr:cNvPr id="10" name="TextBox 9">
          <a:extLst>
            <a:ext uri="{FF2B5EF4-FFF2-40B4-BE49-F238E27FC236}">
              <a16:creationId xmlns:a16="http://schemas.microsoft.com/office/drawing/2014/main" id="{00000000-0008-0000-0900-00000A000000}"/>
            </a:ext>
          </a:extLst>
        </xdr:cNvPr>
        <xdr:cNvSpPr txBox="1"/>
      </xdr:nvSpPr>
      <xdr:spPr>
        <a:xfrm>
          <a:off x="1816283" y="134984"/>
          <a:ext cx="1814647" cy="3697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baseline="0">
              <a:solidFill>
                <a:schemeClr val="tx1"/>
              </a:solidFill>
            </a:rPr>
            <a:t>IFRS 17 PAA</a:t>
          </a:r>
          <a:endParaRPr lang="en-GB" sz="1400" b="1">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gnieszka/3Blocks%20Business%20Dropbox/SecondFloor%20IFRS%2017/Model%20development/Version%20D2.2/CM_Disclosures_GM_I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ashboard_helper"/>
      <sheetName val="Settings"/>
      <sheetName val="checks"/>
      <sheetName val="Data Repository"/>
      <sheetName val="JournalEntries"/>
      <sheetName val="FS.A"/>
      <sheetName val="FS.B"/>
      <sheetName val="FS.C"/>
      <sheetName val="FS.D"/>
      <sheetName val="N.1"/>
      <sheetName val="N.2"/>
      <sheetName val="N.4"/>
      <sheetName val="N.6"/>
      <sheetName val="N.8"/>
      <sheetName val="N.10"/>
      <sheetName val="N.11"/>
      <sheetName val="N.14"/>
      <sheetName val="N.15"/>
      <sheetName val="Portfolio"/>
      <sheetName val="Exchange Rates"/>
    </sheetNames>
    <sheetDataSet>
      <sheetData sheetId="0" refreshError="1"/>
      <sheetData sheetId="1" refreshError="1"/>
      <sheetData sheetId="2">
        <row r="5">
          <cell r="C5" t="str">
            <v>Life Insurance</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A3:A4"/>
  <sheetViews>
    <sheetView tabSelected="1" zoomScale="90" zoomScaleNormal="90" zoomScaleSheetLayoutView="70" workbookViewId="0">
      <pane ySplit="3" topLeftCell="A4" activePane="bottomLeft" state="frozen"/>
      <selection pane="bottomLeft" activeCell="A36" sqref="A36"/>
    </sheetView>
  </sheetViews>
  <sheetFormatPr defaultColWidth="9.15625" defaultRowHeight="12.9" x14ac:dyDescent="0.5"/>
  <cols>
    <col min="1" max="1" width="5.15625" style="14" customWidth="1"/>
    <col min="2" max="2" width="8.578125" style="14" customWidth="1"/>
    <col min="3" max="16384" width="9.15625" style="14"/>
  </cols>
  <sheetData>
    <row r="3" ht="14.5" customHeight="1" x14ac:dyDescent="0.5"/>
    <row r="4" ht="14.5" customHeight="1" x14ac:dyDescent="0.5"/>
  </sheetData>
  <sheetProtection algorithmName="SHA-512" hashValue="smYlJObVxmNaBSV+fekPfBU9UtFxggIp4tFptcq8d1oEmgTdV0L7TYWMjd7m2Q3NYXWads5lf9je3huQ+K5NhA==" saltValue="BpRpjqdVu5oLmi6D3W2G9Q=="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6C00C-977B-4634-B102-099A28B2499C}">
  <sheetPr>
    <tabColor theme="4" tint="-0.249977111117893"/>
  </sheetPr>
  <dimension ref="A5:BK132"/>
  <sheetViews>
    <sheetView showGridLines="0" zoomScale="70" zoomScaleNormal="70" workbookViewId="0">
      <pane ySplit="3" topLeftCell="A4" activePane="bottomLeft" state="frozen"/>
      <selection pane="bottomLeft" activeCell="A32" sqref="A32"/>
    </sheetView>
  </sheetViews>
  <sheetFormatPr defaultRowHeight="14.4" outlineLevelRow="1" x14ac:dyDescent="0.55000000000000004"/>
  <cols>
    <col min="1" max="1" width="5.578125" customWidth="1"/>
    <col min="2" max="32" width="12.68359375" customWidth="1"/>
    <col min="33" max="33" width="12.68359375" style="11" customWidth="1"/>
    <col min="34" max="45" width="12.68359375" customWidth="1"/>
    <col min="46" max="67" width="9.15625" customWidth="1"/>
  </cols>
  <sheetData>
    <row r="5" spans="2:63" ht="18.3" x14ac:dyDescent="0.7">
      <c r="B5" s="2"/>
      <c r="C5" s="2"/>
      <c r="D5" s="2"/>
      <c r="E5" s="2"/>
      <c r="F5" s="2"/>
      <c r="G5" s="2"/>
      <c r="H5" s="2"/>
      <c r="I5" s="2"/>
      <c r="J5" s="2"/>
      <c r="K5" s="96"/>
      <c r="L5" s="2"/>
      <c r="M5" s="2"/>
      <c r="N5" s="2"/>
      <c r="O5" s="2"/>
      <c r="P5" s="2"/>
      <c r="Q5" s="2"/>
      <c r="R5" s="2"/>
      <c r="S5" s="2"/>
      <c r="T5" s="2"/>
      <c r="U5" s="2"/>
      <c r="V5" s="2"/>
      <c r="W5" s="2"/>
      <c r="X5" s="2"/>
      <c r="Y5" s="2"/>
      <c r="Z5" s="2"/>
      <c r="AA5" s="127"/>
      <c r="AB5" s="127"/>
      <c r="AC5" s="127"/>
      <c r="AD5" s="127"/>
      <c r="AE5" s="127"/>
      <c r="AF5" s="127"/>
      <c r="AG5" s="127"/>
      <c r="AH5" s="127"/>
      <c r="AI5" s="127"/>
      <c r="AJ5" s="127"/>
      <c r="AK5" s="127"/>
      <c r="AL5" s="127"/>
      <c r="AM5" s="127"/>
      <c r="AN5" s="127"/>
      <c r="AO5" s="2"/>
      <c r="AP5" s="2"/>
      <c r="AQ5" s="2"/>
      <c r="AR5" s="2"/>
      <c r="AS5" s="2"/>
      <c r="AT5" s="2"/>
      <c r="AU5" s="2"/>
      <c r="AV5" s="2"/>
      <c r="AW5" s="2"/>
      <c r="AX5" s="2"/>
      <c r="AY5" s="2"/>
      <c r="AZ5" s="2"/>
      <c r="BA5" s="2"/>
      <c r="BB5" s="2"/>
      <c r="BC5" s="2"/>
      <c r="BD5" s="2"/>
      <c r="BE5" s="2"/>
      <c r="BF5" s="2"/>
      <c r="BG5" s="2"/>
      <c r="BH5" s="2"/>
      <c r="BI5" s="2"/>
      <c r="BJ5" s="2"/>
      <c r="BK5" s="2"/>
    </row>
    <row r="6" spans="2:63" x14ac:dyDescent="0.55000000000000004">
      <c r="B6" s="2"/>
      <c r="C6" s="2"/>
      <c r="D6" s="2"/>
      <c r="E6" s="2"/>
      <c r="F6" s="2"/>
      <c r="G6" s="2"/>
      <c r="H6" s="2"/>
      <c r="I6" s="2"/>
      <c r="J6" s="2"/>
      <c r="K6" s="2"/>
      <c r="L6" s="2"/>
      <c r="M6" s="2"/>
      <c r="N6" s="2"/>
      <c r="O6" s="2"/>
      <c r="P6" s="2"/>
      <c r="Q6" s="2"/>
      <c r="R6" s="2"/>
      <c r="S6" s="2"/>
      <c r="T6" s="2"/>
      <c r="U6" s="2"/>
      <c r="V6" s="2"/>
      <c r="W6" s="2"/>
      <c r="X6" s="2"/>
      <c r="Y6" s="2"/>
      <c r="Z6" s="2"/>
      <c r="AA6" s="127"/>
      <c r="AB6" s="127"/>
      <c r="AC6" s="127"/>
      <c r="AD6" s="127"/>
      <c r="AE6" s="127"/>
      <c r="AF6" s="127"/>
      <c r="AG6" s="127"/>
      <c r="AH6" s="127"/>
      <c r="AI6" s="127"/>
      <c r="AJ6" s="127"/>
      <c r="AK6" s="127"/>
      <c r="AL6" s="127"/>
      <c r="AM6" s="127"/>
      <c r="AN6" s="127"/>
      <c r="AO6" s="2"/>
      <c r="AP6" s="2"/>
      <c r="AQ6" s="2"/>
      <c r="AR6" s="2"/>
      <c r="AS6" s="2"/>
      <c r="AT6" s="2"/>
      <c r="AU6" s="2"/>
      <c r="AV6" s="2"/>
      <c r="AW6" s="2"/>
      <c r="AX6" s="2"/>
      <c r="AY6" s="2"/>
      <c r="AZ6" s="2"/>
      <c r="BA6" s="2"/>
      <c r="BB6" s="2"/>
      <c r="BC6" s="2"/>
      <c r="BD6" s="2"/>
      <c r="BE6" s="2"/>
      <c r="BF6" s="2"/>
      <c r="BG6" s="2"/>
      <c r="BH6" s="2"/>
      <c r="BI6" s="2"/>
      <c r="BJ6" s="2"/>
      <c r="BK6" s="2"/>
    </row>
    <row r="7" spans="2:63" x14ac:dyDescent="0.55000000000000004">
      <c r="B7" s="140" t="s">
        <v>155</v>
      </c>
      <c r="C7" s="2"/>
      <c r="D7" s="2"/>
      <c r="E7" s="2"/>
      <c r="F7" s="106">
        <v>2</v>
      </c>
      <c r="G7" s="106"/>
      <c r="H7" s="2"/>
      <c r="I7" s="2"/>
      <c r="J7" s="2"/>
      <c r="K7" s="2"/>
      <c r="L7" s="2"/>
      <c r="M7" s="2"/>
      <c r="N7" s="2"/>
      <c r="O7" s="2"/>
      <c r="P7" s="2"/>
      <c r="Q7" s="2"/>
      <c r="R7" s="2"/>
      <c r="S7" s="2"/>
      <c r="T7" s="2"/>
      <c r="U7" s="2"/>
      <c r="V7" s="2"/>
      <c r="W7" s="2"/>
      <c r="X7" s="2"/>
      <c r="Y7" s="2"/>
      <c r="Z7" s="2"/>
      <c r="AA7" s="127"/>
      <c r="AB7" s="127"/>
      <c r="AC7" s="127"/>
      <c r="AD7" s="127"/>
      <c r="AE7" s="127"/>
      <c r="AF7" s="127"/>
      <c r="AG7" s="127"/>
      <c r="AH7" s="127"/>
      <c r="AI7" s="127"/>
      <c r="AJ7" s="127"/>
      <c r="AK7" s="127"/>
      <c r="AL7" s="127"/>
      <c r="AM7" s="127"/>
      <c r="AN7" s="127"/>
      <c r="AO7" s="2"/>
      <c r="AP7" s="2"/>
      <c r="AQ7" s="2"/>
      <c r="AR7" s="2"/>
      <c r="AS7" s="2"/>
      <c r="AT7" s="2"/>
      <c r="AU7" s="2"/>
      <c r="AV7" s="2"/>
      <c r="AW7" s="2"/>
      <c r="AX7" s="2"/>
      <c r="AY7" s="2"/>
      <c r="AZ7" s="2"/>
      <c r="BA7" s="2"/>
      <c r="BB7" s="2"/>
      <c r="BC7" s="2"/>
      <c r="BD7" s="2"/>
      <c r="BE7" s="2"/>
      <c r="BF7" s="2"/>
      <c r="BG7" s="2"/>
      <c r="BH7" s="2"/>
      <c r="BI7" s="2"/>
      <c r="BJ7" s="2"/>
      <c r="BK7" s="2"/>
    </row>
    <row r="8" spans="2:63" x14ac:dyDescent="0.55000000000000004">
      <c r="B8" s="140" t="s">
        <v>162</v>
      </c>
      <c r="C8" s="2"/>
      <c r="D8" s="2"/>
      <c r="E8" s="2"/>
      <c r="F8" s="131">
        <v>7</v>
      </c>
      <c r="G8" s="106"/>
      <c r="H8" s="2"/>
      <c r="I8" s="2"/>
      <c r="J8" s="2"/>
      <c r="K8" s="2"/>
      <c r="L8" s="2"/>
      <c r="M8" s="2"/>
      <c r="N8" s="2"/>
      <c r="O8" s="2"/>
      <c r="P8" s="2"/>
      <c r="Q8" s="2"/>
      <c r="R8" s="2"/>
      <c r="S8" s="2"/>
      <c r="T8" s="2"/>
      <c r="U8" s="2"/>
      <c r="V8" s="2"/>
      <c r="W8" s="2"/>
      <c r="X8" s="2"/>
      <c r="Y8" s="2"/>
      <c r="Z8" s="2"/>
      <c r="AA8" s="127"/>
      <c r="AB8" s="127"/>
      <c r="AC8" s="127"/>
      <c r="AD8" s="127"/>
      <c r="AE8" s="127"/>
      <c r="AF8" s="127"/>
      <c r="AG8" s="127"/>
      <c r="AH8" s="127"/>
      <c r="AI8" s="127"/>
      <c r="AJ8" s="127"/>
      <c r="AK8" s="127"/>
      <c r="AL8" s="127"/>
      <c r="AM8" s="127"/>
      <c r="AN8" s="127"/>
      <c r="AO8" s="2"/>
      <c r="AP8" s="2"/>
      <c r="AQ8" s="2"/>
      <c r="AR8" s="2"/>
      <c r="AS8" s="2"/>
      <c r="AT8" s="2"/>
      <c r="AU8" s="2"/>
      <c r="AV8" s="2"/>
      <c r="AW8" s="2"/>
      <c r="AX8" s="2"/>
      <c r="AY8" s="2"/>
      <c r="AZ8" s="2"/>
      <c r="BA8" s="2"/>
      <c r="BB8" s="2"/>
      <c r="BC8" s="2"/>
      <c r="BD8" s="2"/>
      <c r="BE8" s="2"/>
      <c r="BF8" s="2"/>
      <c r="BG8" s="2"/>
      <c r="BH8" s="2"/>
      <c r="BI8" s="2"/>
      <c r="BJ8" s="2"/>
      <c r="BK8" s="2"/>
    </row>
    <row r="9" spans="2:63" x14ac:dyDescent="0.55000000000000004">
      <c r="B9" s="141"/>
      <c r="C9" s="2"/>
      <c r="D9" s="2"/>
      <c r="E9" s="2"/>
      <c r="F9" s="2"/>
      <c r="G9" s="2"/>
      <c r="H9" s="2"/>
      <c r="I9" s="2"/>
      <c r="J9" s="2"/>
      <c r="K9" s="2"/>
      <c r="L9" s="2"/>
      <c r="M9" s="2"/>
      <c r="N9" s="2"/>
      <c r="O9" s="2"/>
      <c r="P9" s="2"/>
      <c r="Q9" s="2"/>
      <c r="R9" s="2"/>
      <c r="S9" s="2"/>
      <c r="T9" s="2"/>
      <c r="U9" s="2"/>
      <c r="V9" s="2"/>
      <c r="W9" s="2"/>
      <c r="X9" s="2"/>
      <c r="Y9" s="2"/>
      <c r="Z9" s="2"/>
      <c r="AA9" s="127"/>
      <c r="AB9" s="127"/>
      <c r="AC9" s="127"/>
      <c r="AD9" s="127"/>
      <c r="AE9" s="127"/>
      <c r="AF9" s="127"/>
      <c r="AG9" s="127"/>
      <c r="AH9" s="127"/>
      <c r="AI9" s="127"/>
      <c r="AJ9" s="127"/>
      <c r="AK9" s="127"/>
      <c r="AL9" s="127"/>
      <c r="AM9" s="127"/>
      <c r="AN9" s="127"/>
      <c r="AO9" s="2"/>
      <c r="AP9" s="2"/>
      <c r="AQ9" s="2"/>
      <c r="AR9" s="2"/>
      <c r="AS9" s="2"/>
      <c r="AT9" s="2"/>
      <c r="AU9" s="2"/>
      <c r="AV9" s="2"/>
      <c r="AW9" s="2"/>
      <c r="AX9" s="2"/>
      <c r="AY9" s="2"/>
      <c r="AZ9" s="2"/>
      <c r="BA9" s="2"/>
      <c r="BB9" s="2"/>
      <c r="BC9" s="2"/>
      <c r="BD9" s="2"/>
      <c r="BE9" s="2"/>
      <c r="BF9" s="2"/>
      <c r="BG9" s="2"/>
      <c r="BH9" s="2"/>
      <c r="BI9" s="2"/>
      <c r="BJ9" s="2"/>
      <c r="BK9" s="2"/>
    </row>
    <row r="10" spans="2:63" ht="14.5" customHeight="1" x14ac:dyDescent="0.55000000000000004">
      <c r="B10" s="141"/>
      <c r="C10" s="2"/>
      <c r="D10" s="2"/>
      <c r="E10" s="2"/>
      <c r="F10" s="139" t="s">
        <v>156</v>
      </c>
      <c r="G10" s="139" t="s">
        <v>157</v>
      </c>
      <c r="I10" s="2"/>
      <c r="J10" s="2"/>
      <c r="K10" s="2"/>
      <c r="L10" s="2"/>
      <c r="M10" s="2"/>
      <c r="N10" s="2"/>
      <c r="O10" s="2"/>
      <c r="P10" s="2"/>
      <c r="Q10" s="2"/>
      <c r="R10" s="2"/>
      <c r="S10" s="2"/>
      <c r="T10" s="2"/>
      <c r="U10" s="2"/>
      <c r="V10" s="2"/>
      <c r="W10" s="2"/>
      <c r="X10" s="2"/>
      <c r="Y10" s="2"/>
      <c r="Z10" s="2"/>
      <c r="AA10" s="127"/>
      <c r="AB10" s="127"/>
      <c r="AC10" s="127"/>
      <c r="AD10" s="127"/>
      <c r="AE10" s="127"/>
      <c r="AF10" s="127"/>
      <c r="AG10" s="127"/>
      <c r="AH10" s="127"/>
      <c r="AI10" s="127"/>
      <c r="AJ10" s="127"/>
      <c r="AK10" s="127"/>
      <c r="AL10" s="127"/>
      <c r="AM10" s="127"/>
      <c r="AN10" s="127"/>
      <c r="AO10" s="2"/>
      <c r="AP10" s="2"/>
      <c r="AQ10" s="2"/>
      <c r="AR10" s="2"/>
      <c r="AS10" s="2"/>
      <c r="AT10" s="2"/>
      <c r="AU10" s="2"/>
      <c r="AV10" s="2"/>
      <c r="AW10" s="2"/>
      <c r="AX10" s="2"/>
      <c r="AY10" s="2"/>
      <c r="AZ10" s="2"/>
      <c r="BA10" s="2"/>
      <c r="BB10" s="2"/>
      <c r="BC10" s="2"/>
      <c r="BD10" s="2"/>
      <c r="BE10" s="2"/>
      <c r="BF10" s="2"/>
      <c r="BG10" s="2"/>
      <c r="BH10" s="2"/>
      <c r="BI10" s="2"/>
      <c r="BJ10" s="2"/>
      <c r="BK10" s="2"/>
    </row>
    <row r="11" spans="2:63" x14ac:dyDescent="0.55000000000000004">
      <c r="B11" s="140" t="s">
        <v>413</v>
      </c>
      <c r="C11" s="2"/>
      <c r="D11" s="2"/>
      <c r="E11" s="2"/>
      <c r="F11" s="132">
        <v>0.6</v>
      </c>
      <c r="G11" s="132">
        <v>0.5</v>
      </c>
      <c r="N11" s="2"/>
      <c r="O11" s="2"/>
      <c r="P11" s="2"/>
      <c r="Q11" s="2"/>
      <c r="S11" s="2"/>
      <c r="T11" s="2"/>
      <c r="U11" s="2"/>
      <c r="V11" s="2"/>
      <c r="W11" s="2"/>
      <c r="X11" s="2"/>
      <c r="Y11" s="2"/>
      <c r="Z11" s="2"/>
      <c r="AA11" s="127"/>
      <c r="AB11" s="127"/>
      <c r="AC11" s="127"/>
      <c r="AD11" s="127"/>
      <c r="AE11" s="127"/>
      <c r="AF11" s="127"/>
      <c r="AG11" s="127"/>
      <c r="AH11" s="127"/>
      <c r="AI11" s="127"/>
      <c r="AJ11" s="127"/>
      <c r="AK11" s="127"/>
      <c r="AL11" s="127"/>
      <c r="AM11" s="127"/>
      <c r="AN11" s="127"/>
      <c r="AO11" s="2"/>
      <c r="AP11" s="2"/>
      <c r="AQ11" s="2"/>
      <c r="AR11" s="2"/>
      <c r="AS11" s="2"/>
      <c r="AT11" s="2"/>
      <c r="AU11" s="2"/>
      <c r="AV11" s="2"/>
      <c r="AW11" s="2"/>
      <c r="AX11" s="2"/>
      <c r="AY11" s="2"/>
      <c r="AZ11" s="2"/>
      <c r="BA11" s="2"/>
      <c r="BB11" s="2"/>
      <c r="BC11" s="2"/>
      <c r="BD11" s="2"/>
      <c r="BE11" s="2"/>
      <c r="BF11" s="2"/>
      <c r="BG11" s="2"/>
      <c r="BH11" s="2"/>
      <c r="BI11" s="2"/>
      <c r="BJ11" s="2"/>
      <c r="BK11" s="2"/>
    </row>
    <row r="12" spans="2:63" x14ac:dyDescent="0.55000000000000004">
      <c r="B12" s="140" t="s">
        <v>160</v>
      </c>
      <c r="C12" s="2"/>
      <c r="D12" s="2"/>
      <c r="E12" s="2"/>
      <c r="F12" s="132">
        <v>0.15</v>
      </c>
      <c r="G12" s="132">
        <v>0.1</v>
      </c>
      <c r="N12" s="2"/>
      <c r="O12" s="2"/>
      <c r="P12" s="2"/>
      <c r="Q12" s="2"/>
      <c r="S12" s="2"/>
      <c r="T12" s="2"/>
      <c r="U12" s="2"/>
      <c r="V12" s="2"/>
      <c r="W12" s="2"/>
      <c r="X12" s="2"/>
      <c r="Y12" s="2"/>
      <c r="Z12" s="2"/>
      <c r="AA12" s="127"/>
      <c r="AB12" s="127"/>
      <c r="AC12" s="127"/>
      <c r="AD12" s="127"/>
      <c r="AE12" s="127"/>
      <c r="AF12" s="127"/>
      <c r="AG12" s="127"/>
      <c r="AH12" s="127"/>
      <c r="AI12" s="127"/>
      <c r="AJ12" s="127"/>
      <c r="AK12" s="127"/>
      <c r="AL12" s="127"/>
      <c r="AM12" s="127"/>
      <c r="AN12" s="127"/>
      <c r="AO12" s="2"/>
      <c r="AP12" s="2"/>
      <c r="AQ12" s="2"/>
      <c r="AR12" s="2"/>
      <c r="AS12" s="2"/>
      <c r="AT12" s="2"/>
      <c r="AU12" s="2"/>
      <c r="AV12" s="2"/>
      <c r="AW12" s="2"/>
      <c r="AX12" s="2"/>
      <c r="AY12" s="2"/>
      <c r="AZ12" s="2"/>
      <c r="BA12" s="2"/>
      <c r="BB12" s="2"/>
      <c r="BC12" s="2"/>
      <c r="BD12" s="2"/>
      <c r="BE12" s="2"/>
      <c r="BF12" s="2"/>
      <c r="BG12" s="2"/>
      <c r="BH12" s="2"/>
      <c r="BI12" s="2"/>
      <c r="BJ12" s="2"/>
      <c r="BK12" s="2"/>
    </row>
    <row r="13" spans="2:63" x14ac:dyDescent="0.55000000000000004">
      <c r="B13" s="140" t="s">
        <v>433</v>
      </c>
      <c r="C13" s="2"/>
      <c r="D13" s="2"/>
      <c r="E13" s="2"/>
      <c r="F13" s="132">
        <v>0.1</v>
      </c>
      <c r="G13" s="110">
        <f>F13</f>
        <v>0.1</v>
      </c>
      <c r="N13" s="2"/>
      <c r="O13" s="2"/>
      <c r="P13" s="2"/>
      <c r="Q13" s="2"/>
      <c r="S13" s="2"/>
      <c r="T13" s="2"/>
      <c r="U13" s="2"/>
      <c r="V13" s="2"/>
      <c r="W13" s="2"/>
      <c r="X13" s="2"/>
      <c r="Y13" s="2"/>
      <c r="Z13" s="2"/>
      <c r="AA13" s="127"/>
      <c r="AB13" s="127"/>
      <c r="AC13" s="127"/>
      <c r="AD13" s="127"/>
      <c r="AE13" s="127"/>
      <c r="AF13" s="127"/>
      <c r="AG13" s="127"/>
      <c r="AH13" s="127"/>
      <c r="AI13" s="127"/>
      <c r="AJ13" s="127"/>
      <c r="AK13" s="127"/>
      <c r="AL13" s="127"/>
      <c r="AM13" s="127"/>
      <c r="AN13" s="127"/>
      <c r="AO13" s="2"/>
      <c r="AP13" s="2"/>
      <c r="AQ13" s="2"/>
      <c r="AR13" s="2"/>
      <c r="AS13" s="2"/>
      <c r="AT13" s="2"/>
      <c r="AU13" s="2"/>
      <c r="AV13" s="2"/>
      <c r="AW13" s="2"/>
      <c r="AX13" s="2"/>
      <c r="AY13" s="2"/>
      <c r="AZ13" s="2"/>
      <c r="BA13" s="2"/>
      <c r="BB13" s="2"/>
      <c r="BC13" s="2"/>
      <c r="BD13" s="2"/>
      <c r="BE13" s="2"/>
      <c r="BF13" s="2"/>
      <c r="BG13" s="2"/>
      <c r="BH13" s="2"/>
      <c r="BI13" s="2"/>
      <c r="BJ13" s="2"/>
      <c r="BK13" s="2"/>
    </row>
    <row r="14" spans="2:63" x14ac:dyDescent="0.55000000000000004">
      <c r="B14" s="140" t="s">
        <v>379</v>
      </c>
      <c r="C14" s="2"/>
      <c r="D14" s="2"/>
      <c r="E14" s="2"/>
      <c r="F14" s="132">
        <v>0.05</v>
      </c>
      <c r="G14" s="132">
        <v>0.03</v>
      </c>
      <c r="N14" s="2"/>
      <c r="O14" s="2"/>
      <c r="P14" s="2"/>
      <c r="Q14" s="2"/>
      <c r="S14" s="2"/>
      <c r="T14" s="2"/>
      <c r="U14" s="2"/>
      <c r="V14" s="2"/>
      <c r="W14" s="2"/>
      <c r="X14" s="2"/>
      <c r="Y14" s="2"/>
      <c r="Z14" s="2"/>
      <c r="AA14" s="127"/>
      <c r="AB14" s="127"/>
      <c r="AC14" s="127"/>
      <c r="AD14" s="127"/>
      <c r="AE14" s="127"/>
      <c r="AF14" s="127"/>
      <c r="AG14" s="127"/>
      <c r="AH14" s="127"/>
      <c r="AI14" s="127"/>
      <c r="AJ14" s="127"/>
      <c r="AK14" s="127"/>
      <c r="AL14" s="127"/>
      <c r="AM14" s="127"/>
      <c r="AN14" s="127"/>
      <c r="AO14" s="2"/>
      <c r="AP14" s="2"/>
      <c r="AQ14" s="2"/>
      <c r="AR14" s="2"/>
      <c r="AS14" s="2"/>
      <c r="AT14" s="2"/>
      <c r="AU14" s="2"/>
      <c r="AV14" s="2"/>
      <c r="AW14" s="2"/>
      <c r="AX14" s="2"/>
      <c r="AY14" s="2"/>
      <c r="AZ14" s="2"/>
      <c r="BA14" s="2"/>
      <c r="BB14" s="2"/>
      <c r="BC14" s="2"/>
      <c r="BD14" s="2"/>
      <c r="BE14" s="2"/>
      <c r="BF14" s="2"/>
      <c r="BG14" s="2"/>
      <c r="BH14" s="2"/>
      <c r="BI14" s="2"/>
      <c r="BJ14" s="2"/>
      <c r="BK14" s="2"/>
    </row>
    <row r="15" spans="2:63" x14ac:dyDescent="0.55000000000000004">
      <c r="B15" s="140" t="s">
        <v>380</v>
      </c>
      <c r="C15" s="2"/>
      <c r="D15" s="2"/>
      <c r="E15" s="2"/>
      <c r="F15" s="129">
        <f>(F11-F12)*(1+F14)-F13</f>
        <v>0.37249999999999994</v>
      </c>
      <c r="G15" s="129">
        <f>(G11-G12)*(1+G14)-G13</f>
        <v>0.31200000000000006</v>
      </c>
      <c r="N15" s="2"/>
      <c r="O15" s="2"/>
      <c r="P15" s="2"/>
      <c r="Q15" s="2"/>
      <c r="S15" s="2"/>
      <c r="T15" s="2"/>
      <c r="U15" s="2"/>
      <c r="V15" s="2"/>
      <c r="W15" s="2"/>
      <c r="X15" s="2"/>
      <c r="Y15" s="2"/>
      <c r="Z15" s="2"/>
      <c r="AA15" s="127"/>
      <c r="AB15" s="127"/>
      <c r="AC15" s="127"/>
      <c r="AD15" s="127"/>
      <c r="AE15" s="127"/>
      <c r="AF15" s="127"/>
      <c r="AG15" s="127"/>
      <c r="AH15" s="127"/>
      <c r="AI15" s="127"/>
      <c r="AJ15" s="127"/>
      <c r="AK15" s="127"/>
      <c r="AL15" s="127"/>
      <c r="AM15" s="127"/>
      <c r="AN15" s="127"/>
      <c r="AO15" s="2"/>
      <c r="AP15" s="2"/>
      <c r="AQ15" s="2"/>
      <c r="AR15" s="2"/>
      <c r="AS15" s="2"/>
      <c r="AT15" s="2"/>
      <c r="AU15" s="2"/>
      <c r="AV15" s="2"/>
      <c r="AW15" s="2"/>
      <c r="AY15" s="2"/>
      <c r="AZ15" s="2"/>
      <c r="BA15" s="2"/>
      <c r="BB15" s="2"/>
      <c r="BC15" s="2"/>
      <c r="BD15" s="2"/>
      <c r="BE15" s="2"/>
      <c r="BF15" s="2"/>
      <c r="BG15" s="2"/>
      <c r="BH15" s="2"/>
      <c r="BI15" s="2"/>
      <c r="BJ15" s="2"/>
      <c r="BK15" s="2"/>
    </row>
    <row r="16" spans="2:63" x14ac:dyDescent="0.55000000000000004">
      <c r="B16" s="140"/>
      <c r="C16" s="2"/>
      <c r="D16" s="2"/>
      <c r="E16" s="2"/>
      <c r="F16" s="97"/>
      <c r="G16" s="97"/>
      <c r="N16" s="2"/>
      <c r="O16" s="2"/>
      <c r="P16" s="2"/>
      <c r="Q16" s="2"/>
      <c r="S16" s="2"/>
      <c r="T16" s="2"/>
      <c r="U16" s="2"/>
      <c r="V16" s="2"/>
      <c r="W16" s="2"/>
      <c r="X16" s="2"/>
      <c r="Y16" s="2"/>
      <c r="Z16" s="2"/>
      <c r="AA16" s="127"/>
      <c r="AB16" s="127"/>
      <c r="AC16" s="127"/>
      <c r="AD16" s="127"/>
      <c r="AE16" s="127"/>
      <c r="AF16" s="127"/>
      <c r="AG16" s="127"/>
      <c r="AH16" s="127"/>
      <c r="AI16" s="127"/>
      <c r="AJ16" s="127"/>
      <c r="AK16" s="127"/>
      <c r="AL16" s="127"/>
      <c r="AM16" s="127"/>
      <c r="AN16" s="127"/>
      <c r="AO16" s="2"/>
      <c r="AP16" s="2"/>
      <c r="AQ16" s="2"/>
      <c r="AR16" s="2"/>
      <c r="AS16" s="2"/>
      <c r="AT16" s="2"/>
      <c r="AU16" s="2"/>
      <c r="AV16" s="2"/>
      <c r="AW16" s="2"/>
      <c r="AY16" s="2"/>
      <c r="AZ16" s="2"/>
      <c r="BA16" s="2"/>
      <c r="BB16" s="2"/>
      <c r="BC16" s="2"/>
      <c r="BD16" s="2"/>
      <c r="BE16" s="2"/>
      <c r="BF16" s="2"/>
      <c r="BG16" s="2"/>
      <c r="BH16" s="2"/>
      <c r="BI16" s="2"/>
      <c r="BJ16" s="2"/>
      <c r="BK16" s="2"/>
    </row>
    <row r="17" spans="2:63" x14ac:dyDescent="0.55000000000000004">
      <c r="B17" s="140" t="s">
        <v>151</v>
      </c>
      <c r="C17" s="2"/>
      <c r="D17" s="2"/>
      <c r="E17" s="2"/>
      <c r="F17" s="132">
        <v>0.02</v>
      </c>
      <c r="G17" s="132">
        <v>0.01</v>
      </c>
      <c r="N17" s="2"/>
      <c r="O17" s="2"/>
      <c r="P17" s="2"/>
      <c r="Q17" s="2"/>
      <c r="S17" s="2"/>
      <c r="T17" s="2"/>
      <c r="U17" s="2"/>
      <c r="V17" s="2"/>
      <c r="W17" s="2"/>
      <c r="X17" s="2"/>
      <c r="Y17" s="2"/>
      <c r="Z17" s="2"/>
      <c r="AA17" s="127"/>
      <c r="AB17" s="127"/>
      <c r="AC17" s="127"/>
      <c r="AD17" s="127"/>
      <c r="AE17" s="127"/>
      <c r="AF17" s="127"/>
      <c r="AG17" s="127"/>
      <c r="AH17" s="127"/>
      <c r="AI17" s="127"/>
      <c r="AJ17" s="127"/>
      <c r="AK17" s="127"/>
      <c r="AL17" s="127"/>
      <c r="AM17" s="127"/>
      <c r="AN17" s="127"/>
      <c r="AO17" s="2"/>
      <c r="AP17" s="2"/>
      <c r="AQ17" s="2"/>
      <c r="AR17" s="2"/>
      <c r="AS17" s="2"/>
      <c r="AT17" s="2"/>
      <c r="AU17" s="2"/>
      <c r="AV17" s="2"/>
      <c r="AW17" s="2"/>
      <c r="AY17" s="2"/>
      <c r="AZ17" s="2"/>
      <c r="BA17" s="2"/>
      <c r="BB17" s="2"/>
      <c r="BC17" s="2"/>
      <c r="BD17" s="2"/>
      <c r="BE17" s="2"/>
      <c r="BF17" s="2"/>
      <c r="BG17" s="2"/>
      <c r="BH17" s="2"/>
      <c r="BI17" s="2"/>
      <c r="BJ17" s="2"/>
      <c r="BK17" s="2"/>
    </row>
    <row r="18" spans="2:63" x14ac:dyDescent="0.55000000000000004">
      <c r="B18" s="140" t="s">
        <v>376</v>
      </c>
      <c r="F18" s="132">
        <v>0.01</v>
      </c>
      <c r="G18" s="132">
        <v>5.0000000000000001E-3</v>
      </c>
      <c r="N18" s="2"/>
      <c r="O18" s="2"/>
      <c r="P18" s="2"/>
      <c r="Q18" s="2"/>
      <c r="S18" s="2"/>
      <c r="T18" s="2"/>
      <c r="U18" s="2"/>
      <c r="V18" s="2"/>
      <c r="W18" s="2"/>
      <c r="X18" s="2"/>
      <c r="Y18" s="2"/>
      <c r="Z18" s="2"/>
      <c r="AA18" s="127"/>
      <c r="AB18" s="127"/>
      <c r="AC18" s="127"/>
      <c r="AD18" s="127"/>
      <c r="AE18" s="127"/>
      <c r="AF18" s="127"/>
      <c r="AG18" s="127"/>
      <c r="AH18" s="127"/>
      <c r="AI18" s="127"/>
      <c r="AJ18" s="127"/>
      <c r="AK18" s="127"/>
      <c r="AL18" s="127"/>
      <c r="AM18" s="127"/>
      <c r="AN18" s="127"/>
      <c r="AO18" s="2"/>
      <c r="AP18" s="2"/>
      <c r="AQ18" s="2"/>
      <c r="AR18" s="2"/>
      <c r="AS18" s="2"/>
      <c r="AT18" s="2"/>
      <c r="AU18" s="2"/>
      <c r="AV18" s="2"/>
      <c r="AW18" s="2"/>
      <c r="AY18" s="2"/>
      <c r="AZ18" s="2"/>
      <c r="BA18" s="2"/>
      <c r="BB18" s="2"/>
      <c r="BC18" s="2"/>
      <c r="BD18" s="2"/>
      <c r="BE18" s="2"/>
      <c r="BF18" s="2"/>
      <c r="BG18" s="2"/>
      <c r="BH18" s="2"/>
      <c r="BI18" s="2"/>
      <c r="BJ18" s="2"/>
      <c r="BK18" s="2"/>
    </row>
    <row r="19" spans="2:63" x14ac:dyDescent="0.55000000000000004">
      <c r="B19" s="140" t="s">
        <v>117</v>
      </c>
      <c r="C19" s="2"/>
      <c r="D19" s="2"/>
      <c r="E19" s="2"/>
      <c r="F19" s="132">
        <v>0.2</v>
      </c>
      <c r="G19" s="132">
        <v>0.1</v>
      </c>
      <c r="N19" s="2"/>
      <c r="O19" s="2"/>
      <c r="P19" s="2"/>
      <c r="Q19" s="2"/>
      <c r="S19" s="2"/>
      <c r="T19" s="2"/>
      <c r="U19" s="2"/>
      <c r="V19" s="2"/>
      <c r="W19" s="2"/>
      <c r="X19" s="2"/>
      <c r="Y19" s="2"/>
      <c r="Z19" s="2"/>
      <c r="AA19" s="127"/>
      <c r="AB19" s="127"/>
      <c r="AC19" s="127"/>
      <c r="AD19" s="127"/>
      <c r="AE19" s="127"/>
      <c r="AF19" s="127"/>
      <c r="AG19" s="127"/>
      <c r="AH19" s="127"/>
      <c r="AI19" s="127"/>
      <c r="AJ19" s="127"/>
      <c r="AK19" s="127"/>
      <c r="AL19" s="127"/>
      <c r="AM19" s="127"/>
      <c r="AN19" s="127"/>
      <c r="AO19" s="2"/>
      <c r="AP19" s="2"/>
      <c r="AQ19" s="2"/>
      <c r="AR19" s="2"/>
      <c r="AS19" s="2"/>
      <c r="AT19" s="2"/>
      <c r="AU19" s="2"/>
      <c r="AV19" s="2"/>
      <c r="AW19" s="2"/>
      <c r="AY19" s="2"/>
      <c r="AZ19" s="2"/>
      <c r="BA19" s="2"/>
      <c r="BB19" s="2"/>
      <c r="BC19" s="2"/>
      <c r="BD19" s="2"/>
      <c r="BE19" s="2"/>
      <c r="BF19" s="2"/>
      <c r="BG19" s="2"/>
      <c r="BH19" s="2"/>
      <c r="BI19" s="2"/>
      <c r="BJ19" s="2"/>
      <c r="BK19" s="2"/>
    </row>
    <row r="20" spans="2:63" x14ac:dyDescent="0.55000000000000004">
      <c r="B20" s="140"/>
      <c r="C20" s="2"/>
      <c r="D20" s="2"/>
      <c r="E20" s="2"/>
      <c r="F20" s="97"/>
      <c r="G20" s="97"/>
      <c r="H20" s="97"/>
      <c r="N20" s="2"/>
      <c r="O20" s="2"/>
      <c r="P20" s="2"/>
      <c r="Q20" s="2"/>
      <c r="S20" s="2"/>
      <c r="T20" s="2"/>
      <c r="U20" s="2"/>
      <c r="V20" s="2"/>
      <c r="W20" s="2"/>
      <c r="X20" s="2"/>
      <c r="Y20" s="2"/>
      <c r="Z20" s="2"/>
      <c r="AA20" s="127"/>
      <c r="AB20" s="127"/>
      <c r="AC20" s="127"/>
      <c r="AD20" s="127"/>
      <c r="AE20" s="127"/>
      <c r="AF20" s="127"/>
      <c r="AG20" s="127"/>
      <c r="AH20" s="127"/>
      <c r="AI20" s="127"/>
      <c r="AJ20" s="127"/>
      <c r="AK20" s="127"/>
      <c r="AL20" s="127"/>
      <c r="AM20" s="127"/>
      <c r="AN20" s="127"/>
      <c r="AO20" s="2"/>
      <c r="AP20" s="2"/>
      <c r="AQ20" s="2"/>
      <c r="AR20" s="2"/>
      <c r="AS20" s="2"/>
      <c r="AT20" s="2"/>
      <c r="AU20" s="2"/>
      <c r="AV20" s="2"/>
      <c r="AW20" s="2"/>
      <c r="AY20" s="2"/>
      <c r="AZ20" s="2"/>
      <c r="BA20" s="2"/>
      <c r="BB20" s="2"/>
      <c r="BC20" s="2"/>
      <c r="BD20" s="2"/>
      <c r="BE20" s="2"/>
      <c r="BF20" s="2"/>
      <c r="BG20" s="2"/>
      <c r="BH20" s="2"/>
      <c r="BI20" s="2"/>
      <c r="BJ20" s="2"/>
      <c r="BK20" s="2"/>
    </row>
    <row r="21" spans="2:63" x14ac:dyDescent="0.55000000000000004">
      <c r="B21" s="140" t="s">
        <v>410</v>
      </c>
      <c r="C21" s="2"/>
      <c r="D21" s="2"/>
      <c r="E21" s="2"/>
      <c r="F21" s="131">
        <v>9000000</v>
      </c>
      <c r="H21" s="97"/>
      <c r="N21" s="2"/>
      <c r="O21" s="2"/>
      <c r="P21" s="2"/>
      <c r="Q21" s="2"/>
      <c r="S21" s="2"/>
      <c r="T21" s="2"/>
      <c r="U21" s="2"/>
      <c r="V21" s="2"/>
      <c r="W21" s="2"/>
      <c r="X21" s="2"/>
      <c r="Y21" s="2"/>
      <c r="Z21" s="2"/>
      <c r="AA21" s="127"/>
      <c r="AB21" s="127"/>
      <c r="AC21" s="127"/>
      <c r="AD21" s="127"/>
      <c r="AE21" s="127"/>
      <c r="AF21" s="127"/>
      <c r="AG21" s="127"/>
      <c r="AH21" s="127"/>
      <c r="AI21" s="127"/>
      <c r="AJ21" s="127"/>
      <c r="AK21" s="127"/>
      <c r="AL21" s="127"/>
      <c r="AM21" s="127"/>
      <c r="AN21" s="127"/>
      <c r="AO21" s="2"/>
      <c r="AP21" s="2"/>
      <c r="AQ21" s="2"/>
      <c r="AR21" s="2"/>
      <c r="AS21" s="2"/>
      <c r="AT21" s="2"/>
      <c r="AU21" s="2"/>
      <c r="AV21" s="2"/>
      <c r="AW21" s="2"/>
      <c r="AX21" s="2"/>
      <c r="AY21" s="2"/>
      <c r="AZ21" s="2"/>
      <c r="BA21" s="2"/>
      <c r="BB21" s="2"/>
      <c r="BC21" s="2"/>
      <c r="BD21" s="2"/>
      <c r="BE21" s="2"/>
      <c r="BF21" s="2"/>
      <c r="BG21" s="2"/>
      <c r="BH21" s="2"/>
      <c r="BI21" s="2"/>
      <c r="BJ21" s="2"/>
      <c r="BK21" s="2"/>
    </row>
    <row r="22" spans="2:63" x14ac:dyDescent="0.55000000000000004">
      <c r="B22" s="140" t="s">
        <v>411</v>
      </c>
      <c r="C22" s="2"/>
      <c r="D22" s="2"/>
      <c r="E22" s="2"/>
      <c r="F22" s="131" t="s">
        <v>375</v>
      </c>
      <c r="H22" s="97"/>
      <c r="N22" s="2"/>
      <c r="O22" s="2"/>
      <c r="P22" s="2"/>
      <c r="Q22" s="2"/>
      <c r="S22" s="2"/>
      <c r="T22" s="2"/>
      <c r="U22" s="2"/>
      <c r="V22" s="2"/>
      <c r="W22" s="2"/>
      <c r="X22" s="2"/>
      <c r="Y22" s="2"/>
      <c r="Z22" s="2"/>
      <c r="AA22" s="127"/>
      <c r="AB22" s="127"/>
      <c r="AC22" s="127"/>
      <c r="AD22" s="127"/>
      <c r="AE22" s="127"/>
      <c r="AF22" s="127"/>
      <c r="AG22" s="127"/>
      <c r="AH22" s="127"/>
      <c r="AI22" s="127"/>
      <c r="AJ22" s="127"/>
      <c r="AK22" s="127"/>
      <c r="AL22" s="127"/>
      <c r="AM22" s="127"/>
      <c r="AN22" s="127"/>
      <c r="AO22" s="2"/>
      <c r="AP22" s="2"/>
      <c r="AQ22" s="2"/>
      <c r="AR22" s="2"/>
      <c r="AS22" s="2"/>
      <c r="AT22" s="2"/>
      <c r="AU22" s="2"/>
      <c r="AV22" s="2"/>
      <c r="AW22" s="2"/>
      <c r="AX22" s="2"/>
      <c r="AY22" s="2"/>
      <c r="AZ22" s="2"/>
      <c r="BA22" s="2"/>
      <c r="BB22" s="2"/>
      <c r="BC22" s="2"/>
      <c r="BD22" s="2"/>
      <c r="BE22" s="2"/>
      <c r="BF22" s="2"/>
      <c r="BG22" s="2"/>
      <c r="BH22" s="2"/>
      <c r="BI22" s="2"/>
      <c r="BJ22" s="2"/>
      <c r="BK22" s="2"/>
    </row>
    <row r="23" spans="2:63" x14ac:dyDescent="0.55000000000000004">
      <c r="B23" s="140" t="s">
        <v>163</v>
      </c>
      <c r="C23" s="2"/>
      <c r="D23" s="2"/>
      <c r="E23" s="2"/>
      <c r="F23" s="130" t="s">
        <v>118</v>
      </c>
      <c r="N23" s="2"/>
      <c r="O23" s="2"/>
      <c r="P23" s="2"/>
      <c r="Q23" s="2"/>
      <c r="S23" s="2"/>
      <c r="T23" s="2"/>
      <c r="U23" s="2"/>
      <c r="V23" s="2"/>
      <c r="W23" s="2"/>
      <c r="X23" s="2"/>
      <c r="Y23" s="2"/>
      <c r="Z23" s="2"/>
      <c r="AA23" s="127"/>
      <c r="AB23" s="127"/>
      <c r="AC23" s="127"/>
      <c r="AD23" s="127"/>
      <c r="AE23" s="127"/>
      <c r="AF23" s="127"/>
      <c r="AG23" s="127"/>
      <c r="AH23" s="127"/>
      <c r="AI23" s="127"/>
      <c r="AJ23" s="127"/>
      <c r="AK23" s="127"/>
      <c r="AL23" s="127"/>
      <c r="AM23" s="127"/>
      <c r="AN23" s="127"/>
      <c r="AO23" s="2"/>
      <c r="AP23" s="2"/>
      <c r="AQ23" s="2"/>
      <c r="AR23" s="2"/>
      <c r="AS23" s="2"/>
      <c r="AT23" s="2"/>
      <c r="AU23" s="2"/>
      <c r="AV23" s="2"/>
      <c r="AW23" s="2"/>
      <c r="AX23" s="2"/>
      <c r="AY23" s="2"/>
      <c r="AZ23" s="2"/>
      <c r="BA23" s="2"/>
      <c r="BB23" s="2"/>
      <c r="BC23" s="2"/>
      <c r="BD23" s="2"/>
      <c r="BE23" s="2"/>
      <c r="BF23" s="2"/>
      <c r="BG23" s="2"/>
      <c r="BH23" s="2"/>
      <c r="BI23" s="2"/>
      <c r="BJ23" s="2"/>
      <c r="BK23" s="2"/>
    </row>
    <row r="24" spans="2:63" x14ac:dyDescent="0.55000000000000004">
      <c r="B24" s="140" t="s">
        <v>161</v>
      </c>
      <c r="F24" s="130" t="s">
        <v>374</v>
      </c>
      <c r="N24" s="2"/>
      <c r="O24" s="2"/>
      <c r="P24" s="2"/>
      <c r="Q24" s="2"/>
      <c r="S24" s="2"/>
      <c r="T24" s="2"/>
      <c r="U24" s="2"/>
      <c r="V24" s="2"/>
      <c r="W24" s="2"/>
      <c r="X24" s="2"/>
      <c r="Y24" s="2"/>
      <c r="Z24" s="2"/>
      <c r="AA24" s="127"/>
      <c r="AB24" s="127"/>
      <c r="AC24" s="127"/>
      <c r="AD24" s="127"/>
      <c r="AE24" s="127"/>
      <c r="AF24" s="127"/>
      <c r="AG24" s="127"/>
      <c r="AH24" s="127"/>
      <c r="AI24" s="127"/>
      <c r="AJ24" s="127"/>
      <c r="AK24" s="127"/>
      <c r="AL24" s="127"/>
      <c r="AM24" s="127"/>
      <c r="AN24" s="127"/>
      <c r="AO24" s="2"/>
      <c r="AP24" s="2"/>
      <c r="AQ24" s="2"/>
      <c r="AR24" s="2"/>
      <c r="AS24" s="2"/>
      <c r="AT24" s="2"/>
      <c r="AU24" s="2"/>
      <c r="AV24" s="2"/>
      <c r="AW24" s="2"/>
      <c r="AX24" s="2"/>
      <c r="AY24" s="2"/>
      <c r="AZ24" s="2"/>
      <c r="BA24" s="2"/>
      <c r="BB24" s="2"/>
      <c r="BC24" s="2"/>
      <c r="BD24" s="2"/>
      <c r="BE24" s="2"/>
      <c r="BF24" s="2"/>
      <c r="BG24" s="2"/>
      <c r="BH24" s="2"/>
      <c r="BI24" s="2"/>
      <c r="BJ24" s="2"/>
      <c r="BK24" s="2"/>
    </row>
    <row r="25" spans="2:63" x14ac:dyDescent="0.55000000000000004">
      <c r="B25" s="140" t="s">
        <v>377</v>
      </c>
      <c r="C25" s="2"/>
      <c r="D25" s="2"/>
      <c r="E25" s="2"/>
      <c r="F25" s="130" t="s">
        <v>118</v>
      </c>
      <c r="N25" s="2"/>
      <c r="O25" s="2"/>
      <c r="P25" s="2"/>
      <c r="Q25" s="2"/>
      <c r="S25" s="2"/>
      <c r="T25" s="2"/>
      <c r="U25" s="2"/>
      <c r="V25" s="2"/>
      <c r="W25" s="2"/>
      <c r="X25" s="2"/>
      <c r="Y25" s="2"/>
      <c r="Z25" s="2"/>
      <c r="AA25" s="127"/>
      <c r="AB25" s="127"/>
      <c r="AC25" s="127"/>
      <c r="AD25" s="127"/>
      <c r="AE25" s="127"/>
      <c r="AF25" s="127"/>
      <c r="AG25" s="127"/>
      <c r="AH25" s="127"/>
      <c r="AI25" s="127"/>
      <c r="AJ25" s="127"/>
      <c r="AK25" s="127"/>
      <c r="AL25" s="127"/>
      <c r="AM25" s="127"/>
      <c r="AN25" s="127"/>
      <c r="AO25" s="2"/>
      <c r="AP25" s="2"/>
      <c r="AQ25" s="2"/>
      <c r="AR25" s="2"/>
      <c r="AS25" s="2"/>
      <c r="AT25" s="2"/>
      <c r="AU25" s="2"/>
      <c r="AV25" s="2"/>
      <c r="AW25" s="2"/>
      <c r="AX25" s="2"/>
      <c r="AY25" s="2"/>
      <c r="AZ25" s="2"/>
      <c r="BA25" s="2"/>
      <c r="BB25" s="2"/>
      <c r="BC25" s="2"/>
      <c r="BD25" s="2"/>
      <c r="BE25" s="2"/>
      <c r="BF25" s="2"/>
      <c r="BG25" s="2"/>
      <c r="BH25" s="2"/>
      <c r="BI25" s="2"/>
      <c r="BJ25" s="2"/>
      <c r="BK25" s="2"/>
    </row>
    <row r="26" spans="2:63" x14ac:dyDescent="0.55000000000000004">
      <c r="B26" s="140" t="s">
        <v>434</v>
      </c>
      <c r="C26" s="2"/>
      <c r="D26" s="2"/>
      <c r="E26" s="2"/>
      <c r="F26" s="130" t="s">
        <v>122</v>
      </c>
      <c r="H26" s="105"/>
      <c r="N26" s="2"/>
      <c r="O26" s="2"/>
      <c r="P26" s="2"/>
      <c r="Q26" s="2"/>
      <c r="S26" s="2"/>
      <c r="T26" s="2"/>
      <c r="U26" s="2"/>
      <c r="V26" s="2"/>
      <c r="W26" s="2"/>
      <c r="X26" s="2"/>
      <c r="Y26" s="2"/>
      <c r="Z26" s="2"/>
      <c r="AA26" s="127"/>
      <c r="AB26" s="127"/>
      <c r="AC26" s="127"/>
      <c r="AD26" s="127"/>
      <c r="AE26" s="127"/>
      <c r="AF26" s="127"/>
      <c r="AG26" s="127"/>
      <c r="AH26" s="127"/>
      <c r="AI26" s="127"/>
      <c r="AJ26" s="127"/>
      <c r="AK26" s="127"/>
      <c r="AL26" s="127"/>
      <c r="AM26" s="127"/>
      <c r="AN26" s="127"/>
      <c r="AO26" s="2"/>
      <c r="AP26" s="2"/>
      <c r="AQ26" s="2"/>
      <c r="AR26" s="2"/>
      <c r="AS26" s="2"/>
      <c r="AT26" s="2"/>
      <c r="AU26" s="2"/>
      <c r="AV26" s="2"/>
      <c r="AW26" s="2"/>
      <c r="AX26" s="2"/>
      <c r="AY26" s="2"/>
      <c r="AZ26" s="2"/>
      <c r="BA26" s="2"/>
      <c r="BB26" s="2"/>
      <c r="BC26" s="2"/>
      <c r="BD26" s="2"/>
      <c r="BE26" s="2"/>
      <c r="BF26" s="2"/>
      <c r="BG26" s="2"/>
      <c r="BH26" s="2"/>
      <c r="BI26" s="2"/>
      <c r="BJ26" s="2"/>
      <c r="BK26" s="2"/>
    </row>
    <row r="27" spans="2:63" x14ac:dyDescent="0.55000000000000004">
      <c r="B27" s="140" t="s">
        <v>131</v>
      </c>
      <c r="C27" s="2"/>
      <c r="D27" s="2"/>
      <c r="E27" s="2"/>
      <c r="F27" s="130" t="s">
        <v>118</v>
      </c>
      <c r="H27" s="105"/>
      <c r="N27" s="2"/>
      <c r="O27" s="2"/>
      <c r="P27" s="2"/>
      <c r="Q27" s="2"/>
      <c r="S27" s="2"/>
      <c r="T27" s="2"/>
      <c r="U27" s="2"/>
      <c r="V27" s="2"/>
      <c r="W27" s="2"/>
      <c r="X27" s="2"/>
      <c r="Y27" s="2"/>
      <c r="Z27" s="2"/>
      <c r="AA27" s="127"/>
      <c r="AB27" s="127"/>
      <c r="AC27" s="127"/>
      <c r="AD27" s="127"/>
      <c r="AE27" s="127"/>
      <c r="AF27" s="127"/>
      <c r="AG27" s="127"/>
      <c r="AH27" s="127"/>
      <c r="AI27" s="127"/>
      <c r="AJ27" s="127"/>
      <c r="AK27" s="127"/>
      <c r="AL27" s="127"/>
      <c r="AM27" s="127"/>
      <c r="AN27" s="127"/>
      <c r="AO27" s="2"/>
      <c r="AP27" s="2"/>
      <c r="AQ27" s="2"/>
      <c r="AR27" s="2"/>
      <c r="AS27" s="2"/>
      <c r="AT27" s="2"/>
      <c r="AU27" s="2"/>
      <c r="AV27" s="2"/>
      <c r="AW27" s="2"/>
      <c r="AX27" s="2"/>
      <c r="AY27" s="2"/>
      <c r="AZ27" s="2"/>
      <c r="BA27" s="2"/>
      <c r="BB27" s="2"/>
      <c r="BC27" s="2"/>
      <c r="BD27" s="2"/>
      <c r="BE27" s="2"/>
      <c r="BF27" s="2"/>
      <c r="BG27" s="2"/>
      <c r="BH27" s="2"/>
      <c r="BI27" s="2"/>
      <c r="BJ27" s="2"/>
      <c r="BK27" s="2"/>
    </row>
    <row r="28" spans="2:63" x14ac:dyDescent="0.55000000000000004">
      <c r="B28" s="140" t="s">
        <v>132</v>
      </c>
      <c r="C28" s="2"/>
      <c r="D28" s="2"/>
      <c r="E28" s="2"/>
      <c r="F28" s="130" t="s">
        <v>122</v>
      </c>
      <c r="H28" s="105"/>
      <c r="N28" s="2"/>
      <c r="O28" s="2"/>
      <c r="P28" s="2"/>
      <c r="Q28" s="2"/>
      <c r="S28" s="2"/>
      <c r="T28" s="2"/>
      <c r="U28" s="2"/>
      <c r="V28" s="2"/>
      <c r="W28" s="2"/>
      <c r="X28" s="2"/>
      <c r="Y28" s="2"/>
      <c r="Z28" s="2"/>
      <c r="AA28" s="127"/>
      <c r="AB28" s="127"/>
      <c r="AC28" s="127"/>
      <c r="AD28" s="127"/>
      <c r="AE28" s="127"/>
      <c r="AF28" s="127"/>
      <c r="AG28" s="127"/>
      <c r="AH28" s="127"/>
      <c r="AI28" s="127"/>
      <c r="AJ28" s="127"/>
      <c r="AK28" s="127"/>
      <c r="AL28" s="127"/>
      <c r="AM28" s="127"/>
      <c r="AN28" s="127"/>
      <c r="AO28" s="2"/>
      <c r="AP28" s="2"/>
      <c r="AQ28" s="2"/>
      <c r="AR28" s="2"/>
      <c r="AS28" s="2"/>
      <c r="AT28" s="2"/>
      <c r="AU28" s="2"/>
      <c r="AV28" s="2"/>
      <c r="AW28" s="2"/>
      <c r="AX28" s="2"/>
      <c r="AY28" s="2"/>
      <c r="AZ28" s="2"/>
      <c r="BA28" s="2"/>
      <c r="BB28" s="2"/>
      <c r="BC28" s="2"/>
      <c r="BD28" s="2"/>
      <c r="BE28" s="2"/>
      <c r="BF28" s="2"/>
      <c r="BG28" s="2"/>
      <c r="BH28" s="2"/>
      <c r="BI28" s="2"/>
      <c r="BJ28" s="2"/>
      <c r="BK28" s="2"/>
    </row>
    <row r="29" spans="2:63" x14ac:dyDescent="0.55000000000000004">
      <c r="B29" s="140" t="s">
        <v>387</v>
      </c>
      <c r="C29" s="2"/>
      <c r="D29" s="2"/>
      <c r="E29" s="2"/>
      <c r="F29" s="130" t="s">
        <v>118</v>
      </c>
      <c r="H29" s="105"/>
      <c r="N29" s="2"/>
      <c r="O29" s="2"/>
      <c r="P29" s="2"/>
      <c r="Q29" s="2"/>
      <c r="S29" s="2"/>
      <c r="T29" s="2"/>
      <c r="U29" s="2"/>
      <c r="V29" s="2"/>
      <c r="W29" s="2"/>
      <c r="X29" s="2"/>
      <c r="Y29" s="2"/>
      <c r="Z29" s="2"/>
      <c r="AA29" s="127"/>
      <c r="AB29" s="127"/>
      <c r="AC29" s="127"/>
      <c r="AD29" s="127"/>
      <c r="AE29" s="127"/>
      <c r="AF29" s="127"/>
      <c r="AG29" s="127"/>
      <c r="AH29" s="127"/>
      <c r="AI29" s="127"/>
      <c r="AJ29" s="127"/>
      <c r="AK29" s="127"/>
      <c r="AL29" s="127"/>
      <c r="AM29" s="127"/>
      <c r="AN29" s="127"/>
      <c r="AO29" s="2"/>
      <c r="AP29" s="2"/>
      <c r="AQ29" s="2"/>
      <c r="AR29" s="2"/>
      <c r="AS29" s="2"/>
      <c r="AT29" s="2"/>
      <c r="AU29" s="2"/>
      <c r="AV29" s="2"/>
      <c r="AW29" s="2"/>
      <c r="AX29" s="2"/>
      <c r="AY29" s="2"/>
      <c r="AZ29" s="2"/>
      <c r="BA29" s="2"/>
      <c r="BB29" s="2"/>
      <c r="BC29" s="2"/>
      <c r="BD29" s="2"/>
      <c r="BE29" s="2"/>
      <c r="BF29" s="2"/>
      <c r="BG29" s="2"/>
      <c r="BH29" s="2"/>
      <c r="BI29" s="2"/>
      <c r="BJ29" s="2"/>
      <c r="BK29" s="2"/>
    </row>
    <row r="30" spans="2:63" x14ac:dyDescent="0.55000000000000004">
      <c r="H30" s="105"/>
      <c r="J30" s="2"/>
      <c r="K30" s="2"/>
      <c r="N30" s="2"/>
      <c r="O30" s="2"/>
      <c r="P30" s="2"/>
      <c r="Q30" s="2"/>
      <c r="S30" s="2"/>
      <c r="T30" s="2"/>
      <c r="U30" s="2"/>
      <c r="V30" s="2"/>
      <c r="W30" s="2"/>
      <c r="X30" s="2"/>
      <c r="Y30" s="2"/>
      <c r="Z30" s="2"/>
      <c r="AA30" s="22"/>
      <c r="AB30" s="2"/>
      <c r="AC30" s="2"/>
      <c r="AD30" s="2"/>
      <c r="AE30" s="2"/>
      <c r="AF30" s="2"/>
      <c r="AG30" s="21"/>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row>
    <row r="31" spans="2:63" x14ac:dyDescent="0.55000000000000004">
      <c r="H31" s="105"/>
      <c r="J31" s="2"/>
      <c r="K31" s="2"/>
      <c r="N31" s="2"/>
      <c r="O31" s="2"/>
      <c r="P31" s="2"/>
      <c r="Q31" s="2"/>
      <c r="S31" s="2"/>
      <c r="T31" s="2"/>
      <c r="U31" s="2"/>
      <c r="V31" s="2"/>
      <c r="W31" s="2"/>
      <c r="X31" s="2"/>
      <c r="Y31" s="2"/>
      <c r="Z31" s="2"/>
      <c r="AA31" s="22"/>
      <c r="AB31" s="2"/>
      <c r="AC31" s="2"/>
      <c r="AD31" s="2"/>
      <c r="AE31" s="2"/>
      <c r="AF31" s="2"/>
      <c r="AG31" s="21"/>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row>
    <row r="32" spans="2:63" x14ac:dyDescent="0.55000000000000004">
      <c r="H32" s="105"/>
      <c r="J32" s="2"/>
      <c r="K32" s="2"/>
      <c r="N32" s="2"/>
      <c r="O32" s="2"/>
      <c r="P32" s="2"/>
      <c r="Q32" s="2"/>
      <c r="S32" s="2"/>
      <c r="T32" s="2"/>
      <c r="U32" s="2"/>
      <c r="V32" s="2"/>
      <c r="W32" s="2"/>
      <c r="X32" s="2"/>
      <c r="Y32" s="2"/>
      <c r="Z32" s="2"/>
      <c r="AA32" s="22"/>
      <c r="AB32" s="2"/>
      <c r="AC32" s="2"/>
      <c r="AD32" s="2"/>
      <c r="AE32" s="2"/>
      <c r="AF32" s="2"/>
      <c r="AG32" s="21"/>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row>
    <row r="33" spans="1:63" x14ac:dyDescent="0.55000000000000004">
      <c r="H33" s="105"/>
      <c r="J33" s="2"/>
      <c r="K33" s="2"/>
      <c r="N33" s="2"/>
      <c r="O33" s="2"/>
      <c r="P33" s="2"/>
      <c r="Q33" s="2"/>
      <c r="S33" s="2"/>
      <c r="T33" s="2"/>
      <c r="U33" s="2"/>
      <c r="V33" s="2"/>
      <c r="W33" s="2"/>
      <c r="X33" s="2"/>
      <c r="Y33" s="2"/>
      <c r="Z33" s="2"/>
      <c r="AA33" s="22"/>
      <c r="AB33" s="2"/>
      <c r="AC33" s="2"/>
      <c r="AD33" s="2"/>
      <c r="AE33" s="2"/>
      <c r="AF33" s="2"/>
      <c r="AG33" s="21"/>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row>
    <row r="34" spans="1:63" ht="18.3" x14ac:dyDescent="0.55000000000000004">
      <c r="A34" s="2"/>
      <c r="B34" s="143" t="s">
        <v>164</v>
      </c>
      <c r="C34" s="107"/>
      <c r="D34" s="108"/>
      <c r="H34" s="105"/>
      <c r="J34" s="2"/>
      <c r="K34" s="2"/>
      <c r="N34" s="2"/>
      <c r="O34" s="2"/>
      <c r="P34" s="2"/>
      <c r="Q34" s="2"/>
      <c r="S34" s="2"/>
      <c r="T34" s="2"/>
      <c r="U34" s="2"/>
      <c r="V34" s="2"/>
      <c r="W34" s="2"/>
      <c r="X34" s="2"/>
      <c r="Y34" s="2"/>
      <c r="Z34" s="2"/>
      <c r="AA34" s="22"/>
      <c r="AB34" s="2"/>
      <c r="AC34" s="2"/>
      <c r="AD34" s="2"/>
      <c r="AE34" s="2"/>
      <c r="AF34" s="2"/>
      <c r="AG34" s="21"/>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row>
    <row r="35" spans="1:63" outlineLevel="1" x14ac:dyDescent="0.55000000000000004">
      <c r="D35" s="2"/>
      <c r="E35" s="2"/>
      <c r="F35" s="2"/>
      <c r="G35" s="2"/>
      <c r="H35" s="2"/>
      <c r="I35" s="2"/>
      <c r="J35" s="2"/>
      <c r="K35" s="2"/>
      <c r="L35" s="2"/>
      <c r="M35" s="2"/>
      <c r="N35" s="2"/>
      <c r="O35" s="2"/>
      <c r="P35" s="2"/>
      <c r="Q35" s="2"/>
      <c r="R35" s="2"/>
      <c r="S35" s="2"/>
      <c r="T35" s="2"/>
      <c r="U35" s="2"/>
      <c r="V35" s="2"/>
      <c r="W35" s="2"/>
      <c r="X35" s="45"/>
      <c r="Y35" s="46"/>
      <c r="Z35" s="2"/>
      <c r="AA35" s="2"/>
      <c r="AB35" s="2"/>
      <c r="AC35" s="2"/>
      <c r="AD35" s="2"/>
      <c r="AE35" s="2"/>
      <c r="AF35" s="2"/>
      <c r="AG35" s="21"/>
      <c r="AH35" s="2"/>
      <c r="AI35" s="2"/>
      <c r="AJ35" s="2"/>
      <c r="AK35" s="2"/>
      <c r="AL35" s="2"/>
    </row>
    <row r="36" spans="1:63" ht="19.899999999999999" customHeight="1" outlineLevel="1" x14ac:dyDescent="0.55000000000000004">
      <c r="B36" s="185" t="s">
        <v>67</v>
      </c>
      <c r="C36" s="185"/>
      <c r="D36" s="185"/>
      <c r="E36" s="2"/>
      <c r="F36" s="187" t="s">
        <v>127</v>
      </c>
      <c r="G36" s="187"/>
      <c r="H36" s="187"/>
      <c r="I36" s="2"/>
      <c r="J36" s="187" t="s">
        <v>69</v>
      </c>
      <c r="K36" s="187"/>
      <c r="L36" s="187"/>
      <c r="M36" s="187"/>
      <c r="N36" s="2"/>
      <c r="O36" s="187" t="s">
        <v>38</v>
      </c>
      <c r="P36" s="187"/>
      <c r="Q36" s="187"/>
      <c r="R36" s="187"/>
      <c r="S36" s="2"/>
      <c r="T36" s="190" t="s">
        <v>461</v>
      </c>
      <c r="U36" s="190"/>
      <c r="W36" s="189" t="s">
        <v>31</v>
      </c>
      <c r="X36" s="189"/>
      <c r="Y36" s="189"/>
      <c r="Z36" s="189"/>
      <c r="AA36" s="189"/>
      <c r="AB36" s="189"/>
      <c r="AC36" s="2"/>
      <c r="AD36" s="189" t="s">
        <v>32</v>
      </c>
      <c r="AE36" s="189"/>
      <c r="AF36" s="189"/>
      <c r="AG36" s="189"/>
      <c r="AH36" s="189"/>
      <c r="AI36" s="189"/>
      <c r="AJ36" s="21"/>
      <c r="AK36" s="189" t="s">
        <v>149</v>
      </c>
      <c r="AL36" s="189"/>
      <c r="AM36" s="19"/>
      <c r="AN36" s="189" t="s">
        <v>325</v>
      </c>
      <c r="AO36" s="189"/>
    </row>
    <row r="37" spans="1:63" ht="30.6" customHeight="1" outlineLevel="1" x14ac:dyDescent="0.55000000000000004">
      <c r="B37" s="145" t="s">
        <v>145</v>
      </c>
      <c r="C37" s="145" t="s">
        <v>10</v>
      </c>
      <c r="D37" s="78" t="s">
        <v>124</v>
      </c>
      <c r="E37" s="13"/>
      <c r="F37" s="82" t="s">
        <v>127</v>
      </c>
      <c r="G37" s="82" t="s">
        <v>153</v>
      </c>
      <c r="H37" s="133" t="s">
        <v>2</v>
      </c>
      <c r="I37" s="2"/>
      <c r="J37" s="88" t="s">
        <v>125</v>
      </c>
      <c r="K37" s="88" t="s">
        <v>36</v>
      </c>
      <c r="L37" s="48" t="s">
        <v>129</v>
      </c>
      <c r="M37" s="133" t="s">
        <v>2</v>
      </c>
      <c r="N37" s="13"/>
      <c r="O37" s="91" t="s">
        <v>126</v>
      </c>
      <c r="P37" s="91" t="s">
        <v>36</v>
      </c>
      <c r="Q37" s="92" t="s">
        <v>130</v>
      </c>
      <c r="R37" s="133" t="s">
        <v>2</v>
      </c>
      <c r="S37" s="55"/>
      <c r="T37" s="91" t="s">
        <v>154</v>
      </c>
      <c r="U37" s="91" t="s">
        <v>36</v>
      </c>
      <c r="W37" s="53" t="s">
        <v>12</v>
      </c>
      <c r="X37" s="53" t="s">
        <v>34</v>
      </c>
      <c r="Y37" s="53" t="s">
        <v>35</v>
      </c>
      <c r="Z37" s="53" t="s">
        <v>41</v>
      </c>
      <c r="AA37" s="56" t="s">
        <v>119</v>
      </c>
      <c r="AB37" s="53" t="s">
        <v>1</v>
      </c>
      <c r="AC37" s="55"/>
      <c r="AD37" s="53" t="s">
        <v>12</v>
      </c>
      <c r="AE37" s="53" t="s">
        <v>34</v>
      </c>
      <c r="AF37" s="53" t="s">
        <v>35</v>
      </c>
      <c r="AG37" s="56" t="s">
        <v>41</v>
      </c>
      <c r="AH37" s="56" t="s">
        <v>119</v>
      </c>
      <c r="AI37" s="53" t="s">
        <v>1</v>
      </c>
      <c r="AJ37" s="57"/>
      <c r="AK37" s="58" t="s">
        <v>3</v>
      </c>
      <c r="AL37" s="58" t="s">
        <v>0</v>
      </c>
      <c r="AM37" s="19"/>
      <c r="AN37" s="76" t="s">
        <v>45</v>
      </c>
      <c r="AO37" s="76" t="s">
        <v>146</v>
      </c>
      <c r="AP37" s="19"/>
      <c r="AQ37" s="19"/>
      <c r="AR37" s="19"/>
      <c r="AS37" s="19"/>
    </row>
    <row r="38" spans="1:63" s="19" customFormat="1" outlineLevel="1" x14ac:dyDescent="0.55000000000000004">
      <c r="B38" s="15" t="s">
        <v>169</v>
      </c>
      <c r="C38" s="15" t="s">
        <v>170</v>
      </c>
      <c r="D38" s="16" t="s">
        <v>171</v>
      </c>
      <c r="E38" s="20"/>
      <c r="F38" s="83" t="s">
        <v>172</v>
      </c>
      <c r="G38" s="83" t="s">
        <v>173</v>
      </c>
      <c r="H38" s="18" t="s">
        <v>174</v>
      </c>
      <c r="I38" s="23"/>
      <c r="J38" s="18" t="s">
        <v>175</v>
      </c>
      <c r="K38" s="18" t="s">
        <v>176</v>
      </c>
      <c r="L38" s="18" t="s">
        <v>180</v>
      </c>
      <c r="M38" s="17" t="s">
        <v>181</v>
      </c>
      <c r="N38" s="20"/>
      <c r="O38" s="17" t="s">
        <v>182</v>
      </c>
      <c r="P38" s="17" t="s">
        <v>183</v>
      </c>
      <c r="Q38" s="17" t="s">
        <v>184</v>
      </c>
      <c r="R38" s="142" t="s">
        <v>185</v>
      </c>
      <c r="S38" s="61"/>
      <c r="T38" s="17" t="s">
        <v>186</v>
      </c>
      <c r="U38" s="17" t="s">
        <v>187</v>
      </c>
      <c r="W38" s="60" t="s">
        <v>188</v>
      </c>
      <c r="X38" s="60" t="s">
        <v>189</v>
      </c>
      <c r="Y38" s="60" t="s">
        <v>190</v>
      </c>
      <c r="Z38" s="60" t="s">
        <v>191</v>
      </c>
      <c r="AA38" s="60" t="s">
        <v>192</v>
      </c>
      <c r="AB38" s="60" t="s">
        <v>193</v>
      </c>
      <c r="AC38" s="61"/>
      <c r="AD38" s="60" t="s">
        <v>194</v>
      </c>
      <c r="AE38" s="60" t="s">
        <v>195</v>
      </c>
      <c r="AF38" s="60" t="s">
        <v>196</v>
      </c>
      <c r="AG38" s="60" t="s">
        <v>197</v>
      </c>
      <c r="AH38" s="60" t="s">
        <v>198</v>
      </c>
      <c r="AI38" s="60" t="s">
        <v>199</v>
      </c>
      <c r="AJ38" s="62"/>
      <c r="AK38" s="60" t="s">
        <v>200</v>
      </c>
      <c r="AL38" s="60" t="s">
        <v>201</v>
      </c>
      <c r="AN38" s="60" t="s">
        <v>202</v>
      </c>
      <c r="AO38" s="60" t="s">
        <v>203</v>
      </c>
    </row>
    <row r="39" spans="1:63" outlineLevel="1" x14ac:dyDescent="0.55000000000000004">
      <c r="B39" s="1"/>
      <c r="C39" s="3">
        <v>0</v>
      </c>
      <c r="D39" s="87">
        <v>1</v>
      </c>
      <c r="E39" s="2"/>
      <c r="F39" s="84">
        <v>1</v>
      </c>
      <c r="G39" s="84"/>
      <c r="H39" s="5"/>
      <c r="I39" s="2"/>
      <c r="J39" s="2"/>
      <c r="K39" s="2"/>
      <c r="L39" s="55"/>
      <c r="M39" s="55"/>
      <c r="N39" s="2"/>
      <c r="O39" s="10"/>
      <c r="P39" s="10"/>
      <c r="Q39" s="49"/>
      <c r="R39" s="55"/>
      <c r="S39" s="55"/>
      <c r="T39" s="2"/>
      <c r="U39" s="2"/>
      <c r="W39" s="63">
        <f>IFERROR(IF(C39&gt;=$F$7*4,0,-IF($F$22="pattern",U40*$F$21,IF(AND($F$22="single",C39=0),$F$21,IF(AND($F$22="annual",MOD(C39,4)=0),$F$21/$F$7,IF(AND($F$22="semi-ann",MOD(C39,2)=0),$F$21/(2*$F$7),IF($F$22="quarterly",$F$21/(4*$F$7),0)))))*F39),0)</f>
        <v>-1125000</v>
      </c>
      <c r="X39" s="63"/>
      <c r="Y39" s="63"/>
      <c r="Z39" s="63">
        <f>-$F$13*$F$21</f>
        <v>-900000</v>
      </c>
      <c r="AA39" s="63"/>
      <c r="AB39" s="64">
        <f>SUM(W39:AA39)</f>
        <v>-2025000</v>
      </c>
      <c r="AC39" s="55"/>
      <c r="AD39" s="64">
        <f t="shared" ref="AD39:AD47" si="0">W39*$D39</f>
        <v>-1125000</v>
      </c>
      <c r="AE39" s="64"/>
      <c r="AF39" s="64"/>
      <c r="AG39" s="64">
        <f t="shared" ref="AG39:AG47" si="1">Z39*$D39</f>
        <v>-900000</v>
      </c>
      <c r="AH39" s="64"/>
      <c r="AI39" s="64">
        <f>SUM(AD39:AH39)</f>
        <v>-2025000</v>
      </c>
      <c r="AJ39" s="57"/>
      <c r="AK39" s="51">
        <f ca="1">SUM(AD39:AD$47,AG39:AG$47)/D39+SUM(AE40:AF$48,AH40:AH$47)/D39</f>
        <v>-5092303.1716076862</v>
      </c>
      <c r="AL39" s="51">
        <f>SUM(AE40:$AF$48)*$F$14/D39</f>
        <v>157741.73410979455</v>
      </c>
      <c r="AM39" s="19"/>
      <c r="AN39" s="51">
        <f ca="1">-SUM(AD39:$AD$48,AH39:$AH$48)/D39</f>
        <v>7347137.8538035769</v>
      </c>
      <c r="AO39" s="51">
        <f ca="1">-SUM(W39:$W$48,AA39:$AA$48)</f>
        <v>7464283.2667799741</v>
      </c>
      <c r="AP39" s="19"/>
      <c r="AQ39" s="19"/>
      <c r="AR39" s="19"/>
      <c r="AS39" s="19"/>
    </row>
    <row r="40" spans="1:63" outlineLevel="1" x14ac:dyDescent="0.55000000000000004">
      <c r="A40" s="9"/>
      <c r="B40" s="1" t="s">
        <v>6</v>
      </c>
      <c r="C40" s="3">
        <v>1</v>
      </c>
      <c r="D40" s="87">
        <f t="shared" ref="D40:D47" si="2">D39/(1+$F$17)^(1/4)</f>
        <v>0.99506157747984325</v>
      </c>
      <c r="E40" s="4"/>
      <c r="F40" s="84">
        <f t="shared" ref="F40:F47" si="3">(1-$F$19)^(C40/4)</f>
        <v>0.94574160900317583</v>
      </c>
      <c r="G40" s="84">
        <f>AVERAGE(F39:F40)</f>
        <v>0.97287080450158792</v>
      </c>
      <c r="H40" s="84">
        <f>F40*D40</f>
        <v>0.94107113734302528</v>
      </c>
      <c r="I40" s="4"/>
      <c r="J40" s="98">
        <v>1</v>
      </c>
      <c r="K40" s="94">
        <f t="shared" ref="K40:K47" si="4">J40/$J$50</f>
        <v>0.125</v>
      </c>
      <c r="L40" s="47">
        <f>J40*G40</f>
        <v>0.97287080450158792</v>
      </c>
      <c r="M40" s="47">
        <f>L40*D40</f>
        <v>0.96806635741143421</v>
      </c>
      <c r="N40" s="4"/>
      <c r="O40" s="98">
        <v>1</v>
      </c>
      <c r="P40" s="94">
        <f t="shared" ref="P40:P47" si="5">O40/$O$50</f>
        <v>0.125</v>
      </c>
      <c r="Q40" s="47">
        <f>O40*G40</f>
        <v>0.97287080450158792</v>
      </c>
      <c r="R40" s="47">
        <f>Q40*D40</f>
        <v>0.96806635741143421</v>
      </c>
      <c r="T40" s="137">
        <v>0.20282873599525819</v>
      </c>
      <c r="U40" s="135">
        <f>T40/$T$50</f>
        <v>0.20949555849661408</v>
      </c>
      <c r="W40" s="63">
        <f t="shared" ref="W40:W47" si="6">IFERROR(IF(C40&gt;=$F$7*4,0,-IF($F$22="pattern",U41*$F$21,IF(AND($F$22="single",C40=0),$F$21,IF(AND($F$22="annual",MOD(C40,4)=0),$F$21/$F$7,IF(AND($F$22="semi-ann",MOD(C40,2)=0),$F$21/(2*$F$7),IF($F$22="quarterly",$F$21/(4*$F$7),0)))))*F40),0)</f>
        <v>-1063959.3101285729</v>
      </c>
      <c r="X40" s="63">
        <f t="shared" ref="X40:X47" si="7">$F$21*$F$11*P40*((1+$F$18)^(C40/4))*F40</f>
        <v>639965.57494415354</v>
      </c>
      <c r="Y40" s="63">
        <f>-$F$21*$F$12*IF($F$28="risk",P40*F40,IF($F$28="policies IF",F40/($F$7*4),1/($F$7*4)))</f>
        <v>-159593.89651928592</v>
      </c>
      <c r="Z40" s="63">
        <v>0</v>
      </c>
      <c r="AA40" s="63">
        <f t="shared" ref="AA40:AA47" ca="1" si="8">IF($F$25="no",0,1)*(F40-F39)*OFFSET(W40,-IF($F$22="single",C40,IF($F$22="annual",MOD(C40,4),IF($F$22="semi-ann",MOD(C40,2),0))),0)*IF($F$22="single",($F$7*4-C40)/($F$7*4),IF(AND($F$22="annual",MOD(C40,4)&lt;&gt;0),(4-MOD(C40,4))/4,IF(AND($F$22="semi-ann",MOD(C40,2)&lt;&gt;0),0.5,0)))</f>
        <v>0</v>
      </c>
      <c r="AB40" s="64">
        <f t="shared" ref="AB40:AB47" ca="1" si="9">SUM(W40:AA40)</f>
        <v>-583587.63170370529</v>
      </c>
      <c r="AC40" s="51"/>
      <c r="AD40" s="51">
        <f t="shared" si="0"/>
        <v>-1058705.0295109034</v>
      </c>
      <c r="AE40" s="64">
        <f t="shared" ref="AE40:AF47" si="10">X40*$D40</f>
        <v>636805.15453672432</v>
      </c>
      <c r="AF40" s="64">
        <f t="shared" si="10"/>
        <v>-158805.75442663551</v>
      </c>
      <c r="AG40" s="51">
        <f t="shared" si="1"/>
        <v>0</v>
      </c>
      <c r="AH40" s="64">
        <f t="shared" ref="AH40:AH47" ca="1" si="11">AA40*$D40</f>
        <v>0</v>
      </c>
      <c r="AI40" s="64">
        <f t="shared" ref="AI40:AI47" ca="1" si="12">SUM(AD40:AH40)</f>
        <v>-580705.62940081465</v>
      </c>
      <c r="AJ40" s="11"/>
      <c r="AK40" s="51">
        <f ca="1">SUM(AD40:AD$47,AG40:AG$47)/D40+SUM(AE41:AF$48,AH41:AH$47)/D40</f>
        <v>-3562897.6657875138</v>
      </c>
      <c r="AL40" s="51">
        <f>SUM(AE41:$AF$48)*$F$14/D40</f>
        <v>134506.01162117656</v>
      </c>
      <c r="AM40" s="19"/>
      <c r="AN40" s="51">
        <f ca="1">-SUM(AD40:$AD$48,AH40:$AH$48)/D40</f>
        <v>6253017.8982110452</v>
      </c>
      <c r="AO40" s="51">
        <f ca="1">-SUM(W40:$W$48,AA40:$AA$48)</f>
        <v>6339283.2667799741</v>
      </c>
      <c r="AP40" s="19"/>
      <c r="AQ40" s="126"/>
      <c r="AR40" s="19"/>
      <c r="AS40" s="19"/>
    </row>
    <row r="41" spans="1:63" outlineLevel="1" x14ac:dyDescent="0.55000000000000004">
      <c r="A41" s="9"/>
      <c r="B41" s="1" t="s">
        <v>7</v>
      </c>
      <c r="C41" s="3">
        <v>2</v>
      </c>
      <c r="D41" s="87">
        <f t="shared" si="2"/>
        <v>0.99014754297667418</v>
      </c>
      <c r="E41" s="4"/>
      <c r="F41" s="84">
        <f t="shared" si="3"/>
        <v>0.89442719099991586</v>
      </c>
      <c r="G41" s="84">
        <f t="shared" ref="G41:G47" si="13">AVERAGE(F40:F41)</f>
        <v>0.92008440000154579</v>
      </c>
      <c r="H41" s="84">
        <f t="shared" ref="H41:H47" si="14">F41*D41</f>
        <v>0.88561488554009515</v>
      </c>
      <c r="I41" s="4"/>
      <c r="J41" s="98">
        <v>1</v>
      </c>
      <c r="K41" s="94">
        <f t="shared" si="4"/>
        <v>0.125</v>
      </c>
      <c r="L41" s="47">
        <f t="shared" ref="L41:L47" si="15">J41*G41</f>
        <v>0.92008440000154579</v>
      </c>
      <c r="M41" s="47">
        <f t="shared" ref="M41:M47" si="16">L41*D41</f>
        <v>0.91101930799269804</v>
      </c>
      <c r="N41" s="4"/>
      <c r="O41" s="98">
        <v>1</v>
      </c>
      <c r="P41" s="94">
        <f t="shared" si="5"/>
        <v>0.125</v>
      </c>
      <c r="Q41" s="47">
        <f t="shared" ref="Q41:Q47" si="17">O41*G41</f>
        <v>0.92008440000154579</v>
      </c>
      <c r="R41" s="47">
        <f t="shared" ref="R41:R47" si="18">Q41*D41</f>
        <v>0.91101930799269804</v>
      </c>
      <c r="S41" s="51"/>
      <c r="T41" s="137">
        <v>0.17818906429460918</v>
      </c>
      <c r="U41" s="135">
        <f t="shared" ref="U41:U47" si="19">T41/$T$50</f>
        <v>0.18404599998720564</v>
      </c>
      <c r="W41" s="63">
        <f t="shared" si="6"/>
        <v>-1006230.5898749053</v>
      </c>
      <c r="X41" s="63">
        <f t="shared" si="7"/>
        <v>606749.53646459419</v>
      </c>
      <c r="Y41" s="63">
        <f t="shared" ref="Y41:Y47" si="20">-$F$21*$F$12*IF($F$28="risk",P41*F41,IF($F$28="policies IF",F41/($F$7*4),1/($F$7*4)))</f>
        <v>-150934.58848123581</v>
      </c>
      <c r="Z41" s="63">
        <v>0</v>
      </c>
      <c r="AA41" s="63">
        <f t="shared" ca="1" si="8"/>
        <v>0</v>
      </c>
      <c r="AB41" s="64">
        <f t="shared" ca="1" si="9"/>
        <v>-550415.6418915469</v>
      </c>
      <c r="AC41" s="51"/>
      <c r="AD41" s="51">
        <f t="shared" si="0"/>
        <v>-996316.74623260705</v>
      </c>
      <c r="AE41" s="64">
        <f t="shared" si="10"/>
        <v>600771.56273265393</v>
      </c>
      <c r="AF41" s="64">
        <f t="shared" si="10"/>
        <v>-149447.51193489108</v>
      </c>
      <c r="AG41" s="51">
        <f t="shared" si="1"/>
        <v>0</v>
      </c>
      <c r="AH41" s="64">
        <f t="shared" ca="1" si="11"/>
        <v>0</v>
      </c>
      <c r="AI41" s="64">
        <f t="shared" ca="1" si="12"/>
        <v>-544992.69543484424</v>
      </c>
      <c r="AJ41" s="57"/>
      <c r="AK41" s="51">
        <f ca="1">SUM(AD41:AD$47,AG41:AG$47)/D41+SUM(AE42:AF$48,AH42:AH$47)/D41</f>
        <v>-2967155.3637070889</v>
      </c>
      <c r="AL41" s="51">
        <f>SUM(AE42:$AF$48)*$F$14/D41</f>
        <v>112382.80835386911</v>
      </c>
      <c r="AM41" s="19"/>
      <c r="AN41" s="51">
        <f ca="1">-SUM(AD41:$AD$48,AH41:$AH$48)/D41</f>
        <v>5214811.530784471</v>
      </c>
      <c r="AO41" s="51">
        <f ca="1">-SUM(W41:$W$48,AA41:$AA$48)</f>
        <v>5275323.9566514017</v>
      </c>
      <c r="AP41" s="19"/>
      <c r="AQ41" s="126"/>
      <c r="AR41" s="19"/>
      <c r="AS41" s="19"/>
    </row>
    <row r="42" spans="1:63" outlineLevel="1" x14ac:dyDescent="0.55000000000000004">
      <c r="A42" s="9"/>
      <c r="B42" s="1" t="s">
        <v>8</v>
      </c>
      <c r="C42" s="3">
        <v>3</v>
      </c>
      <c r="D42" s="87">
        <f t="shared" si="2"/>
        <v>0.98525777605216036</v>
      </c>
      <c r="E42" s="4"/>
      <c r="F42" s="84">
        <f>(1-$F$19)^(C42/4)</f>
        <v>0.84589701075245127</v>
      </c>
      <c r="G42" s="84">
        <f t="shared" si="13"/>
        <v>0.87016210087618351</v>
      </c>
      <c r="H42" s="84">
        <f t="shared" si="14"/>
        <v>0.83342660758313047</v>
      </c>
      <c r="I42" s="4"/>
      <c r="J42" s="98">
        <v>1</v>
      </c>
      <c r="K42" s="94">
        <f t="shared" si="4"/>
        <v>0.125</v>
      </c>
      <c r="L42" s="47">
        <f t="shared" si="15"/>
        <v>0.87016210087618351</v>
      </c>
      <c r="M42" s="47">
        <f t="shared" si="16"/>
        <v>0.85733397631414421</v>
      </c>
      <c r="N42" s="4"/>
      <c r="O42" s="98">
        <v>1</v>
      </c>
      <c r="P42" s="94">
        <f t="shared" si="5"/>
        <v>0.125</v>
      </c>
      <c r="Q42" s="47">
        <f t="shared" si="17"/>
        <v>0.87016210087618351</v>
      </c>
      <c r="R42" s="47">
        <f t="shared" si="18"/>
        <v>0.85733397631414421</v>
      </c>
      <c r="S42" s="51"/>
      <c r="T42" s="137">
        <v>0.20194032380116383</v>
      </c>
      <c r="U42" s="135">
        <f t="shared" si="19"/>
        <v>0.20857794488597978</v>
      </c>
      <c r="W42" s="63">
        <f t="shared" si="6"/>
        <v>-951634.13709650771</v>
      </c>
      <c r="X42" s="63">
        <f t="shared" si="7"/>
        <v>575257.50511209294</v>
      </c>
      <c r="Y42" s="63">
        <f t="shared" si="20"/>
        <v>-142745.12056447615</v>
      </c>
      <c r="Z42" s="63">
        <v>0</v>
      </c>
      <c r="AA42" s="63">
        <f t="shared" ca="1" si="8"/>
        <v>0</v>
      </c>
      <c r="AB42" s="64">
        <f t="shared" ca="1" si="9"/>
        <v>-519121.75254889089</v>
      </c>
      <c r="AC42" s="51"/>
      <c r="AD42" s="51">
        <f t="shared" si="0"/>
        <v>-937604.93353102182</v>
      </c>
      <c r="AE42" s="64">
        <f t="shared" si="10"/>
        <v>566776.93014405493</v>
      </c>
      <c r="AF42" s="64">
        <f t="shared" si="10"/>
        <v>-140640.74002965327</v>
      </c>
      <c r="AG42" s="51">
        <f t="shared" si="1"/>
        <v>0</v>
      </c>
      <c r="AH42" s="64">
        <f t="shared" ca="1" si="11"/>
        <v>0</v>
      </c>
      <c r="AI42" s="64">
        <f t="shared" ca="1" si="12"/>
        <v>-511468.74341662019</v>
      </c>
      <c r="AJ42" s="57"/>
      <c r="AK42" s="51">
        <f ca="1">SUM(AD42:AD$47,AG42:AG$47)/D42+SUM(AE43:AF$48,AH43:AH$47)/D42</f>
        <v>-2403169.0938525293</v>
      </c>
      <c r="AL42" s="51">
        <f>SUM(AE43:$AF$48)*$F$14/D42</f>
        <v>91314.937314352981</v>
      </c>
      <c r="AM42" s="19"/>
      <c r="AN42" s="51">
        <f ca="1">-SUM(AD42:$AD$48,AH42:$AH$48)/D42</f>
        <v>4229467.8401395893</v>
      </c>
      <c r="AO42" s="51">
        <f ca="1">-SUM(W42:$W$48,AA42:$AA$48)</f>
        <v>4269093.3667764962</v>
      </c>
      <c r="AP42" s="19"/>
      <c r="AQ42" s="126"/>
      <c r="AR42" s="19"/>
      <c r="AS42" s="19"/>
    </row>
    <row r="43" spans="1:63" outlineLevel="1" x14ac:dyDescent="0.55000000000000004">
      <c r="A43" s="9"/>
      <c r="B43" s="1" t="s">
        <v>9</v>
      </c>
      <c r="C43" s="3">
        <v>4</v>
      </c>
      <c r="D43" s="87">
        <f t="shared" si="2"/>
        <v>0.98039215686274483</v>
      </c>
      <c r="E43" s="4"/>
      <c r="F43" s="84">
        <f t="shared" si="3"/>
        <v>0.8</v>
      </c>
      <c r="G43" s="84">
        <f t="shared" si="13"/>
        <v>0.82294850537622566</v>
      </c>
      <c r="H43" s="84">
        <f t="shared" si="14"/>
        <v>0.78431372549019596</v>
      </c>
      <c r="I43" s="4"/>
      <c r="J43" s="98">
        <v>1</v>
      </c>
      <c r="K43" s="94">
        <f t="shared" si="4"/>
        <v>0.125</v>
      </c>
      <c r="L43" s="47">
        <f t="shared" si="15"/>
        <v>0.82294850537622566</v>
      </c>
      <c r="M43" s="47">
        <f t="shared" si="16"/>
        <v>0.80681226017277008</v>
      </c>
      <c r="N43" s="4"/>
      <c r="O43" s="98">
        <v>1</v>
      </c>
      <c r="P43" s="94">
        <f t="shared" si="5"/>
        <v>0.125</v>
      </c>
      <c r="Q43" s="47">
        <f t="shared" si="17"/>
        <v>0.82294850537622566</v>
      </c>
      <c r="R43" s="47">
        <f t="shared" si="18"/>
        <v>0.80681226017277008</v>
      </c>
      <c r="S43" s="51"/>
      <c r="T43" s="137">
        <v>0.20709640104961757</v>
      </c>
      <c r="U43" s="135">
        <f t="shared" si="19"/>
        <v>0.21390349837580555</v>
      </c>
      <c r="W43" s="63">
        <f t="shared" si="6"/>
        <v>-900000</v>
      </c>
      <c r="X43" s="63">
        <f t="shared" si="7"/>
        <v>545400</v>
      </c>
      <c r="Y43" s="63">
        <f t="shared" si="20"/>
        <v>-135000</v>
      </c>
      <c r="Z43" s="63">
        <v>0</v>
      </c>
      <c r="AA43" s="63">
        <f t="shared" ca="1" si="8"/>
        <v>0</v>
      </c>
      <c r="AB43" s="64">
        <f t="shared" ca="1" si="9"/>
        <v>-489600</v>
      </c>
      <c r="AC43" s="51"/>
      <c r="AD43" s="51">
        <f t="shared" si="0"/>
        <v>-882352.94117647037</v>
      </c>
      <c r="AE43" s="64">
        <f t="shared" si="10"/>
        <v>534705.88235294109</v>
      </c>
      <c r="AF43" s="64">
        <f t="shared" si="10"/>
        <v>-132352.94117647054</v>
      </c>
      <c r="AG43" s="51">
        <f t="shared" si="1"/>
        <v>0</v>
      </c>
      <c r="AH43" s="64">
        <f t="shared" ca="1" si="11"/>
        <v>0</v>
      </c>
      <c r="AI43" s="64">
        <f t="shared" ca="1" si="12"/>
        <v>-479999.99999999983</v>
      </c>
      <c r="AJ43" s="57"/>
      <c r="AK43" s="51">
        <f ca="1">SUM(AD43:AD$47,AG43:AG$47)/D43+SUM(AE44:AF$48,AH44:AH$47)/D43</f>
        <v>-1869138.8254225156</v>
      </c>
      <c r="AL43" s="51">
        <f>SUM(AE44:$AF$48)*$F$14/D43</f>
        <v>71248.127099855526</v>
      </c>
      <c r="AM43" s="19"/>
      <c r="AN43" s="51">
        <f ca="1">-SUM(AD43:$AD$48,AH43:$AH$48)/D43</f>
        <v>3294101.3674196261</v>
      </c>
      <c r="AO43" s="51">
        <f ca="1">-SUM(W43:$W$48,AA43:$AA$48)</f>
        <v>3317459.2296799887</v>
      </c>
      <c r="AP43" s="19"/>
      <c r="AQ43" s="126"/>
      <c r="AR43" s="19"/>
      <c r="AS43" s="19"/>
    </row>
    <row r="44" spans="1:63" outlineLevel="1" x14ac:dyDescent="0.55000000000000004">
      <c r="A44" s="9"/>
      <c r="B44" s="1" t="s">
        <v>15</v>
      </c>
      <c r="C44" s="3">
        <v>5</v>
      </c>
      <c r="D44" s="87">
        <f t="shared" si="2"/>
        <v>0.97555056615670888</v>
      </c>
      <c r="E44" s="4"/>
      <c r="F44" s="84">
        <f t="shared" si="3"/>
        <v>0.75659328720254071</v>
      </c>
      <c r="G44" s="84">
        <f t="shared" si="13"/>
        <v>0.77829664360127038</v>
      </c>
      <c r="H44" s="84">
        <f t="shared" si="14"/>
        <v>0.73809500968080399</v>
      </c>
      <c r="I44" s="4"/>
      <c r="J44" s="98">
        <v>1</v>
      </c>
      <c r="K44" s="94">
        <f t="shared" si="4"/>
        <v>0.125</v>
      </c>
      <c r="L44" s="47">
        <f t="shared" si="15"/>
        <v>0.77829664360127038</v>
      </c>
      <c r="M44" s="47">
        <f t="shared" si="16"/>
        <v>0.75926773130308556</v>
      </c>
      <c r="N44" s="4"/>
      <c r="O44" s="98">
        <v>1</v>
      </c>
      <c r="P44" s="94">
        <f t="shared" si="5"/>
        <v>0.125</v>
      </c>
      <c r="Q44" s="47">
        <f t="shared" si="17"/>
        <v>0.77829664360127038</v>
      </c>
      <c r="R44" s="47">
        <f t="shared" si="18"/>
        <v>0.75926773130308556</v>
      </c>
      <c r="S44" s="51"/>
      <c r="T44" s="137">
        <v>8.3175297485096111E-2</v>
      </c>
      <c r="U44" s="135">
        <f t="shared" si="19"/>
        <v>8.5909204700509473E-2</v>
      </c>
      <c r="W44" s="63">
        <f t="shared" si="6"/>
        <v>-851167.44810285827</v>
      </c>
      <c r="X44" s="63">
        <f t="shared" si="7"/>
        <v>517092.18455487624</v>
      </c>
      <c r="Y44" s="63">
        <f t="shared" si="20"/>
        <v>-127675.11721542875</v>
      </c>
      <c r="Z44" s="63">
        <v>0</v>
      </c>
      <c r="AA44" s="63">
        <f t="shared" ca="1" si="8"/>
        <v>0</v>
      </c>
      <c r="AB44" s="64">
        <f t="shared" ca="1" si="9"/>
        <v>-461750.38076341077</v>
      </c>
      <c r="AC44" s="51"/>
      <c r="AD44" s="51">
        <f t="shared" si="0"/>
        <v>-830356.88589090446</v>
      </c>
      <c r="AE44" s="64">
        <f t="shared" si="10"/>
        <v>504449.57339771889</v>
      </c>
      <c r="AF44" s="64">
        <f t="shared" si="10"/>
        <v>-124553.53288363568</v>
      </c>
      <c r="AG44" s="51">
        <f t="shared" si="1"/>
        <v>0</v>
      </c>
      <c r="AH44" s="64">
        <f t="shared" ca="1" si="11"/>
        <v>0</v>
      </c>
      <c r="AI44" s="64">
        <f t="shared" ca="1" si="12"/>
        <v>-450460.84537682123</v>
      </c>
      <c r="AJ44" s="57"/>
      <c r="AK44" s="51">
        <f ca="1">SUM(AD44:AD$47,AG44:AG$47)/D44+SUM(AE45:AF$48,AH45:AH$47)/D44</f>
        <v>-1363365.6624374702</v>
      </c>
      <c r="AL44" s="51">
        <f>SUM(AE45:$AF$48)*$F$14/D44</f>
        <v>52130.87331239866</v>
      </c>
      <c r="AM44" s="19"/>
      <c r="AN44" s="51">
        <f ca="1">-SUM(AD44:$AD$48,AH44:$AH$48)/D44</f>
        <v>2405983.1286854432</v>
      </c>
      <c r="AO44" s="51">
        <f ca="1">-SUM(W44:$W$48,AA44:$AA$48)</f>
        <v>2417459.2296799887</v>
      </c>
      <c r="AP44" s="19"/>
      <c r="AQ44" s="126"/>
      <c r="AR44" s="19"/>
      <c r="AS44" s="19"/>
    </row>
    <row r="45" spans="1:63" outlineLevel="1" x14ac:dyDescent="0.55000000000000004">
      <c r="A45" s="9"/>
      <c r="B45" s="1" t="s">
        <v>16</v>
      </c>
      <c r="C45" s="3">
        <v>6</v>
      </c>
      <c r="D45" s="87">
        <f t="shared" si="2"/>
        <v>0.9707328852712489</v>
      </c>
      <c r="E45" s="4"/>
      <c r="F45" s="84">
        <f t="shared" si="3"/>
        <v>0.71554175279993271</v>
      </c>
      <c r="G45" s="84">
        <f t="shared" si="13"/>
        <v>0.73606752000123676</v>
      </c>
      <c r="H45" s="84">
        <f t="shared" si="14"/>
        <v>0.69459991022752543</v>
      </c>
      <c r="I45" s="4"/>
      <c r="J45" s="98">
        <v>1</v>
      </c>
      <c r="K45" s="94">
        <f t="shared" si="4"/>
        <v>0.125</v>
      </c>
      <c r="L45" s="47">
        <f t="shared" si="15"/>
        <v>0.73606752000123676</v>
      </c>
      <c r="M45" s="47">
        <f t="shared" si="16"/>
        <v>0.7145249474452533</v>
      </c>
      <c r="N45" s="4"/>
      <c r="O45" s="98">
        <v>1</v>
      </c>
      <c r="P45" s="94">
        <f t="shared" si="5"/>
        <v>0.125</v>
      </c>
      <c r="Q45" s="47">
        <f t="shared" si="17"/>
        <v>0.73606752000123676</v>
      </c>
      <c r="R45" s="47">
        <f t="shared" si="18"/>
        <v>0.7145249474452533</v>
      </c>
      <c r="S45" s="51"/>
      <c r="T45" s="137">
        <v>5.1890782453176132E-2</v>
      </c>
      <c r="U45" s="135">
        <f t="shared" si="19"/>
        <v>5.3596392037411206E-2</v>
      </c>
      <c r="W45" s="63">
        <f t="shared" si="6"/>
        <v>-804984.47189992433</v>
      </c>
      <c r="X45" s="63">
        <f t="shared" si="7"/>
        <v>490253.62546339212</v>
      </c>
      <c r="Y45" s="63">
        <f t="shared" si="20"/>
        <v>-120747.67078498864</v>
      </c>
      <c r="Z45" s="63">
        <v>0</v>
      </c>
      <c r="AA45" s="63">
        <f t="shared" ca="1" si="8"/>
        <v>0</v>
      </c>
      <c r="AB45" s="64">
        <f t="shared" ca="1" si="9"/>
        <v>-435478.51722152089</v>
      </c>
      <c r="AC45" s="51"/>
      <c r="AD45" s="51">
        <f t="shared" si="0"/>
        <v>-781424.89900596614</v>
      </c>
      <c r="AE45" s="64">
        <f t="shared" si="10"/>
        <v>475905.31636076886</v>
      </c>
      <c r="AF45" s="64">
        <f t="shared" si="10"/>
        <v>-117213.73485089492</v>
      </c>
      <c r="AG45" s="51">
        <f t="shared" si="1"/>
        <v>0</v>
      </c>
      <c r="AH45" s="64">
        <f t="shared" ca="1" si="11"/>
        <v>0</v>
      </c>
      <c r="AI45" s="64">
        <f t="shared" ca="1" si="12"/>
        <v>-422733.31749609218</v>
      </c>
      <c r="AJ45" s="57"/>
      <c r="AK45" s="51">
        <f ca="1">SUM(AD45:AD$47,AG45:AG$47)/D45+SUM(AE46:AF$48,AH46:AH$47)/D45</f>
        <v>-884246.17370267527</v>
      </c>
      <c r="AL45" s="51">
        <f>SUM(AE46:$AF$48)*$F$14/D45</f>
        <v>33914.297535579273</v>
      </c>
      <c r="AM45" s="19"/>
      <c r="AN45" s="51">
        <f ca="1">-SUM(AD45:$AD$48,AH45:$AH$48)/D45</f>
        <v>1562532.1244142607</v>
      </c>
      <c r="AO45" s="51">
        <f ca="1">-SUM(W45:$W$48,AA45:$AA$48)</f>
        <v>1566291.7815771305</v>
      </c>
      <c r="AP45" s="19"/>
      <c r="AQ45" s="19"/>
      <c r="AR45" s="19"/>
      <c r="AS45" s="19"/>
    </row>
    <row r="46" spans="1:63" outlineLevel="1" x14ac:dyDescent="0.55000000000000004">
      <c r="A46" s="9"/>
      <c r="B46" s="1" t="s">
        <v>17</v>
      </c>
      <c r="C46" s="3">
        <v>7</v>
      </c>
      <c r="D46" s="87">
        <f t="shared" si="2"/>
        <v>0.96593899612956868</v>
      </c>
      <c r="E46" s="4"/>
      <c r="F46" s="84">
        <f t="shared" si="3"/>
        <v>0.67671760860196106</v>
      </c>
      <c r="G46" s="84">
        <f t="shared" si="13"/>
        <v>0.69612968070094694</v>
      </c>
      <c r="H46" s="84">
        <f t="shared" si="14"/>
        <v>0.65366792751618064</v>
      </c>
      <c r="I46" s="4"/>
      <c r="J46" s="98">
        <v>1</v>
      </c>
      <c r="K46" s="94">
        <f t="shared" si="4"/>
        <v>0.125</v>
      </c>
      <c r="L46" s="47">
        <f t="shared" si="15"/>
        <v>0.69612968070094694</v>
      </c>
      <c r="M46" s="47">
        <f t="shared" si="16"/>
        <v>0.67241880495226991</v>
      </c>
      <c r="N46" s="4"/>
      <c r="O46" s="98">
        <v>1</v>
      </c>
      <c r="P46" s="94">
        <f t="shared" si="5"/>
        <v>0.125</v>
      </c>
      <c r="Q46" s="47">
        <f t="shared" si="17"/>
        <v>0.69612968070094694</v>
      </c>
      <c r="R46" s="47">
        <f t="shared" si="18"/>
        <v>0.67241880495226991</v>
      </c>
      <c r="S46" s="51"/>
      <c r="T46" s="137">
        <v>2.7830892374108518E-2</v>
      </c>
      <c r="U46" s="135">
        <f t="shared" si="19"/>
        <v>2.8745672119700673E-2</v>
      </c>
      <c r="W46" s="63">
        <f t="shared" si="6"/>
        <v>-761307.30967720621</v>
      </c>
      <c r="X46" s="63">
        <f t="shared" si="7"/>
        <v>464808.06413057121</v>
      </c>
      <c r="Y46" s="63">
        <f t="shared" si="20"/>
        <v>-114196.09645158093</v>
      </c>
      <c r="Z46" s="63">
        <v>0</v>
      </c>
      <c r="AA46" s="63">
        <f t="shared" ca="1" si="8"/>
        <v>0</v>
      </c>
      <c r="AB46" s="64">
        <f t="shared" ca="1" si="9"/>
        <v>-410695.34199821594</v>
      </c>
      <c r="AC46" s="51"/>
      <c r="AD46" s="51">
        <f t="shared" si="0"/>
        <v>-735376.41845570318</v>
      </c>
      <c r="AE46" s="64">
        <f t="shared" si="10"/>
        <v>448976.23485921213</v>
      </c>
      <c r="AF46" s="64">
        <f t="shared" si="10"/>
        <v>-110306.46276835549</v>
      </c>
      <c r="AG46" s="51">
        <f t="shared" si="1"/>
        <v>0</v>
      </c>
      <c r="AH46" s="64">
        <f t="shared" ca="1" si="11"/>
        <v>0</v>
      </c>
      <c r="AI46" s="64">
        <f t="shared" ca="1" si="12"/>
        <v>-396706.64636484656</v>
      </c>
      <c r="AJ46" s="57"/>
      <c r="AK46" s="51">
        <f ca="1">SUM(AD46:AD$47,AG46:AG$47)/D46+SUM(AE47:AF$48,AH47:AH$47)/D46</f>
        <v>-430267.03988416394</v>
      </c>
      <c r="AL46" s="51">
        <f>SUM(AE47:$AF$48)*$F$14/D46</f>
        <v>16552.013489652116</v>
      </c>
      <c r="AM46" s="19"/>
      <c r="AN46" s="51">
        <f ca="1">-SUM(AD46:$AD$48,AH46:$AH$48)/D46</f>
        <v>761307.30967720621</v>
      </c>
      <c r="AO46" s="51">
        <f ca="1">-SUM(W46:$W$48,AA46:$AA$48)</f>
        <v>761307.30967720621</v>
      </c>
      <c r="AP46" s="19"/>
      <c r="AQ46" s="19"/>
      <c r="AR46" s="19"/>
      <c r="AS46" s="19"/>
    </row>
    <row r="47" spans="1:63" outlineLevel="1" x14ac:dyDescent="0.55000000000000004">
      <c r="A47" s="9"/>
      <c r="B47" s="1" t="s">
        <v>18</v>
      </c>
      <c r="C47" s="3">
        <v>8</v>
      </c>
      <c r="D47" s="87">
        <f t="shared" si="2"/>
        <v>0.96116878123798488</v>
      </c>
      <c r="E47" s="4"/>
      <c r="F47" s="84">
        <f t="shared" si="3"/>
        <v>0.64000000000000012</v>
      </c>
      <c r="G47" s="84">
        <f t="shared" si="13"/>
        <v>0.65835880430098059</v>
      </c>
      <c r="H47" s="84">
        <f t="shared" si="14"/>
        <v>0.61514801999231039</v>
      </c>
      <c r="I47" s="4"/>
      <c r="J47" s="98">
        <v>1</v>
      </c>
      <c r="K47" s="94">
        <f t="shared" si="4"/>
        <v>0.125</v>
      </c>
      <c r="L47" s="47">
        <f t="shared" si="15"/>
        <v>0.65835880430098059</v>
      </c>
      <c r="M47" s="47">
        <f t="shared" si="16"/>
        <v>0.63279392954727054</v>
      </c>
      <c r="N47" s="4"/>
      <c r="O47" s="98">
        <v>1</v>
      </c>
      <c r="P47" s="94">
        <f t="shared" si="5"/>
        <v>0.125</v>
      </c>
      <c r="Q47" s="47">
        <f t="shared" si="17"/>
        <v>0.65835880430098059</v>
      </c>
      <c r="R47" s="47">
        <f t="shared" si="18"/>
        <v>0.63279392954727054</v>
      </c>
      <c r="S47" s="51"/>
      <c r="T47" s="137">
        <v>1.5225286106495761E-2</v>
      </c>
      <c r="U47" s="135">
        <f t="shared" si="19"/>
        <v>1.5725729396773625E-2</v>
      </c>
      <c r="W47" s="63">
        <f t="shared" si="6"/>
        <v>0</v>
      </c>
      <c r="X47" s="63">
        <f t="shared" si="7"/>
        <v>440683.20000000007</v>
      </c>
      <c r="Y47" s="63">
        <f t="shared" si="20"/>
        <v>-108000.00000000001</v>
      </c>
      <c r="Z47" s="63">
        <v>0</v>
      </c>
      <c r="AA47" s="63">
        <f t="shared" ca="1" si="8"/>
        <v>0</v>
      </c>
      <c r="AB47" s="64">
        <f t="shared" ca="1" si="9"/>
        <v>332683.20000000007</v>
      </c>
      <c r="AC47" s="51"/>
      <c r="AD47" s="51">
        <f t="shared" si="0"/>
        <v>0</v>
      </c>
      <c r="AE47" s="64">
        <f t="shared" si="10"/>
        <v>423570.93425605522</v>
      </c>
      <c r="AF47" s="64">
        <f t="shared" si="10"/>
        <v>-103806.22837370238</v>
      </c>
      <c r="AG47" s="51">
        <f t="shared" si="1"/>
        <v>0</v>
      </c>
      <c r="AH47" s="64">
        <f t="shared" ca="1" si="11"/>
        <v>0</v>
      </c>
      <c r="AI47" s="64">
        <f t="shared" ca="1" si="12"/>
        <v>319764.70588235284</v>
      </c>
      <c r="AJ47" s="57"/>
      <c r="AK47" s="51">
        <f ca="1">SUM(AD47:AD$47,AG47:AG$47)/D47+SUM(AE48:AF$48,AH$47:AH48)/D47</f>
        <v>0</v>
      </c>
      <c r="AL47" s="51">
        <f>SUM(AE48:$AF$48)*$F$14/D47</f>
        <v>0</v>
      </c>
      <c r="AM47" s="19"/>
      <c r="AN47" s="51">
        <f ca="1">-SUM(AD47:$AD$48,AH47:$AH$48)/D47</f>
        <v>0</v>
      </c>
      <c r="AO47" s="51">
        <f ca="1">-SUM(W47:$W$48,AA47:$AA$48)</f>
        <v>0</v>
      </c>
      <c r="AP47" s="19"/>
      <c r="AQ47" s="19"/>
      <c r="AR47" s="19"/>
      <c r="AS47" s="19"/>
    </row>
    <row r="48" spans="1:63" outlineLevel="1" x14ac:dyDescent="0.55000000000000004">
      <c r="B48" s="8"/>
      <c r="C48" s="6"/>
      <c r="D48" s="7"/>
      <c r="E48" s="2"/>
      <c r="F48" s="85"/>
      <c r="G48" s="85"/>
      <c r="H48" s="79"/>
      <c r="I48" s="2"/>
      <c r="J48" s="6"/>
      <c r="K48" s="6"/>
      <c r="L48" s="71"/>
      <c r="M48" s="90"/>
      <c r="N48" s="2"/>
      <c r="O48" s="12"/>
      <c r="P48" s="12"/>
      <c r="Q48" s="50"/>
      <c r="R48" s="90"/>
      <c r="S48" s="55"/>
      <c r="T48" s="136"/>
      <c r="U48" s="136"/>
      <c r="W48" s="66"/>
      <c r="X48" s="66"/>
      <c r="Y48" s="66"/>
      <c r="Z48" s="66"/>
      <c r="AA48" s="66"/>
      <c r="AB48" s="66"/>
      <c r="AC48" s="55"/>
      <c r="AD48" s="67"/>
      <c r="AE48" s="68"/>
      <c r="AF48" s="68"/>
      <c r="AG48" s="67"/>
      <c r="AH48" s="67"/>
      <c r="AI48" s="68"/>
      <c r="AJ48" s="57"/>
      <c r="AK48" s="67"/>
      <c r="AL48" s="67"/>
      <c r="AM48" s="19"/>
      <c r="AN48" s="121"/>
      <c r="AO48" s="121"/>
      <c r="AP48" s="19"/>
      <c r="AQ48" s="19"/>
      <c r="AR48" s="19"/>
      <c r="AS48" s="19"/>
    </row>
    <row r="49" spans="1:45" outlineLevel="1" x14ac:dyDescent="0.55000000000000004">
      <c r="A49" s="9"/>
      <c r="B49" s="4"/>
      <c r="C49" s="4"/>
      <c r="D49" s="4"/>
      <c r="E49" s="4"/>
      <c r="F49" s="3"/>
      <c r="G49" s="3"/>
      <c r="H49" s="4"/>
      <c r="I49" s="4"/>
      <c r="J49" s="4"/>
      <c r="K49" s="4"/>
      <c r="L49" s="51"/>
      <c r="M49" s="51"/>
      <c r="N49" s="4"/>
      <c r="O49" s="4"/>
      <c r="P49" s="4"/>
      <c r="Q49" s="51"/>
      <c r="R49" s="51"/>
      <c r="S49" s="51"/>
      <c r="T49" s="4"/>
      <c r="U49" s="4"/>
      <c r="W49" s="51"/>
      <c r="X49" s="51"/>
      <c r="Y49" s="51"/>
      <c r="Z49" s="51"/>
      <c r="AA49" s="51"/>
      <c r="AB49" s="51"/>
      <c r="AC49" s="51"/>
      <c r="AD49" s="51"/>
      <c r="AE49" s="51"/>
      <c r="AF49" s="51"/>
      <c r="AG49" s="51"/>
      <c r="AH49" s="51"/>
      <c r="AI49" s="51"/>
      <c r="AJ49" s="57"/>
      <c r="AK49" s="51"/>
      <c r="AL49" s="51"/>
      <c r="AM49" s="19"/>
      <c r="AN49" s="55"/>
      <c r="AO49" s="55"/>
      <c r="AP49" s="19"/>
      <c r="AQ49" s="19"/>
      <c r="AR49" s="19"/>
      <c r="AS49" s="19"/>
    </row>
    <row r="50" spans="1:45" outlineLevel="1" x14ac:dyDescent="0.55000000000000004">
      <c r="A50" s="9"/>
      <c r="B50" s="24"/>
      <c r="C50" s="24"/>
      <c r="D50" s="25"/>
      <c r="E50" s="4"/>
      <c r="F50" s="26"/>
      <c r="G50" s="26"/>
      <c r="H50" s="26"/>
      <c r="I50" s="4"/>
      <c r="J50" s="80">
        <f>SUM(J40:J47)</f>
        <v>8</v>
      </c>
      <c r="K50" s="95">
        <f>SUM(K40:K47)</f>
        <v>1</v>
      </c>
      <c r="L50" s="81">
        <f>SUM(L40:L47)</f>
        <v>6.4549184593599778</v>
      </c>
      <c r="M50" s="81">
        <f>SUM(M40:M47)</f>
        <v>6.3222373151389268</v>
      </c>
      <c r="N50" s="4"/>
      <c r="O50" s="80">
        <f>SUM(O40:O47)</f>
        <v>8</v>
      </c>
      <c r="P50" s="95">
        <f>SUM(P40:P47)</f>
        <v>1</v>
      </c>
      <c r="Q50" s="81">
        <f>SUM(Q40:Q47)</f>
        <v>6.4549184593599778</v>
      </c>
      <c r="R50" s="81">
        <f>SUM(R40:R47)</f>
        <v>6.3222373151389268</v>
      </c>
      <c r="S50" s="52"/>
      <c r="T50" s="80">
        <f>SUM(T40:T47)</f>
        <v>0.9681767835595253</v>
      </c>
      <c r="U50" s="95">
        <f>SUM(U40:U47)</f>
        <v>1</v>
      </c>
      <c r="W50" s="52">
        <f t="shared" ref="W50:AB50" si="21">SUM(W39:W47)</f>
        <v>-7464283.2667799741</v>
      </c>
      <c r="X50" s="52">
        <f t="shared" si="21"/>
        <v>4280209.69066968</v>
      </c>
      <c r="Y50" s="52">
        <f t="shared" si="21"/>
        <v>-1058892.4900169962</v>
      </c>
      <c r="Z50" s="52">
        <f t="shared" si="21"/>
        <v>-900000</v>
      </c>
      <c r="AA50" s="52">
        <f t="shared" ca="1" si="21"/>
        <v>0</v>
      </c>
      <c r="AB50" s="52">
        <f t="shared" ca="1" si="21"/>
        <v>-5142966.06612729</v>
      </c>
      <c r="AC50" s="51"/>
      <c r="AD50" s="52">
        <f t="shared" ref="AD50:AI50" si="22">SUM(AD39:AD47)</f>
        <v>-7347137.8538035769</v>
      </c>
      <c r="AE50" s="52">
        <f t="shared" si="22"/>
        <v>4191961.5886401297</v>
      </c>
      <c r="AF50" s="52">
        <f t="shared" si="22"/>
        <v>-1037126.9064442388</v>
      </c>
      <c r="AG50" s="52">
        <f t="shared" si="22"/>
        <v>-900000</v>
      </c>
      <c r="AH50" s="52">
        <f t="shared" ca="1" si="22"/>
        <v>0</v>
      </c>
      <c r="AI50" s="52">
        <f t="shared" ca="1" si="22"/>
        <v>-5092303.1716076862</v>
      </c>
      <c r="AJ50" s="52"/>
      <c r="AK50" s="52"/>
      <c r="AL50" s="52"/>
      <c r="AM50" s="19"/>
      <c r="AN50" s="128"/>
      <c r="AO50" s="51"/>
    </row>
    <row r="51" spans="1:45" ht="15.3" x14ac:dyDescent="0.55000000000000004">
      <c r="A51" s="9"/>
      <c r="B51" s="24"/>
      <c r="C51" s="24"/>
      <c r="D51" s="4"/>
      <c r="E51" s="4"/>
      <c r="F51" s="4"/>
      <c r="G51" s="4"/>
      <c r="H51" s="4"/>
      <c r="I51" s="4"/>
      <c r="J51" s="24"/>
      <c r="K51" s="24"/>
      <c r="L51" s="52"/>
      <c r="M51" s="52"/>
      <c r="N51" s="4"/>
      <c r="O51" s="24"/>
      <c r="P51" s="24"/>
      <c r="Q51" s="52"/>
      <c r="R51" s="52"/>
      <c r="S51" s="51"/>
      <c r="W51" s="52"/>
      <c r="X51" s="72"/>
      <c r="Y51" s="72"/>
      <c r="Z51" s="52"/>
      <c r="AA51" s="52"/>
      <c r="AB51" s="52"/>
      <c r="AC51" s="51"/>
      <c r="AD51" s="52"/>
      <c r="AE51" s="73"/>
      <c r="AF51" s="73"/>
      <c r="AG51" s="52"/>
      <c r="AH51" s="52"/>
      <c r="AI51" s="52"/>
      <c r="AJ51" s="57"/>
      <c r="AK51" s="52"/>
      <c r="AL51" s="52"/>
      <c r="AM51" s="52"/>
      <c r="AN51" s="52"/>
      <c r="AO51" s="51"/>
    </row>
    <row r="52" spans="1:45" ht="15.3" x14ac:dyDescent="0.55000000000000004">
      <c r="A52" s="9"/>
      <c r="B52" s="24"/>
      <c r="C52" s="24"/>
      <c r="D52" s="4"/>
      <c r="E52" s="4"/>
      <c r="F52" s="4"/>
      <c r="G52" s="4"/>
      <c r="H52" s="4"/>
      <c r="I52" s="4"/>
      <c r="J52" s="24"/>
      <c r="K52" s="24"/>
      <c r="L52" s="52"/>
      <c r="M52" s="52"/>
      <c r="N52" s="4"/>
      <c r="O52" s="24"/>
      <c r="P52" s="24"/>
      <c r="Q52" s="52"/>
      <c r="R52" s="52"/>
      <c r="S52" s="51"/>
      <c r="W52" s="52"/>
      <c r="X52" s="72"/>
      <c r="Y52" s="72"/>
      <c r="Z52" s="52"/>
      <c r="AA52" s="52"/>
      <c r="AB52" s="52"/>
      <c r="AC52" s="51"/>
      <c r="AD52" s="52"/>
      <c r="AE52" s="73"/>
      <c r="AF52" s="73"/>
      <c r="AG52" s="52"/>
      <c r="AH52" s="52"/>
      <c r="AI52" s="52"/>
      <c r="AJ52" s="57"/>
      <c r="AK52" s="52"/>
      <c r="AL52" s="52"/>
      <c r="AM52" s="52"/>
      <c r="AN52" s="52"/>
      <c r="AO52" s="51"/>
    </row>
    <row r="53" spans="1:45" ht="18.3" x14ac:dyDescent="0.55000000000000004">
      <c r="A53" s="2"/>
      <c r="B53" s="143" t="s">
        <v>165</v>
      </c>
      <c r="C53" s="107"/>
      <c r="D53" s="108"/>
      <c r="H53" s="105"/>
      <c r="J53" s="2"/>
      <c r="K53" s="2"/>
      <c r="N53" s="2"/>
      <c r="O53" s="2"/>
      <c r="P53" s="2"/>
      <c r="Q53" s="2"/>
      <c r="S53" s="2"/>
      <c r="W53" s="55"/>
      <c r="X53" s="55"/>
      <c r="Y53" s="55"/>
      <c r="Z53" s="55"/>
      <c r="AA53" s="55"/>
      <c r="AB53" s="55"/>
      <c r="AC53" s="2"/>
      <c r="AD53" s="22"/>
      <c r="AE53" s="2"/>
      <c r="AF53" s="2"/>
      <c r="AG53" s="2"/>
      <c r="AH53" s="2"/>
      <c r="AI53" s="2"/>
      <c r="AJ53" s="21"/>
      <c r="AK53" s="2"/>
      <c r="AL53" s="2"/>
      <c r="AM53" s="2"/>
      <c r="AN53" s="55"/>
      <c r="AO53" s="55"/>
    </row>
    <row r="54" spans="1:45" outlineLevel="1" x14ac:dyDescent="0.55000000000000004">
      <c r="D54" s="2"/>
      <c r="E54" s="2"/>
      <c r="F54" s="2"/>
      <c r="G54" s="2"/>
      <c r="H54" s="2"/>
      <c r="I54" s="2"/>
      <c r="J54" s="2"/>
      <c r="K54" s="2"/>
      <c r="L54" s="2"/>
      <c r="M54" s="2"/>
      <c r="N54" s="2"/>
      <c r="O54" s="2"/>
      <c r="P54" s="2"/>
      <c r="Q54" s="2"/>
      <c r="R54" s="2"/>
      <c r="S54" s="2"/>
      <c r="W54" s="55"/>
      <c r="X54" s="55"/>
      <c r="Y54" s="55"/>
      <c r="Z54" s="55"/>
      <c r="AA54" s="113"/>
      <c r="AB54" s="114"/>
      <c r="AC54" s="2"/>
      <c r="AD54" s="2"/>
      <c r="AE54" s="2"/>
      <c r="AF54" s="2"/>
      <c r="AG54" s="2"/>
      <c r="AH54" s="2"/>
      <c r="AI54" s="2"/>
      <c r="AJ54" s="21"/>
      <c r="AK54" s="2"/>
      <c r="AL54" s="2"/>
      <c r="AM54" s="2"/>
      <c r="AN54" s="55"/>
      <c r="AO54" s="55"/>
    </row>
    <row r="55" spans="1:45" ht="19.899999999999999" customHeight="1" outlineLevel="1" x14ac:dyDescent="0.55000000000000004">
      <c r="B55" s="185" t="s">
        <v>67</v>
      </c>
      <c r="C55" s="185"/>
      <c r="D55" s="185"/>
      <c r="E55" s="2"/>
      <c r="F55" s="187" t="s">
        <v>127</v>
      </c>
      <c r="G55" s="187"/>
      <c r="H55" s="187"/>
      <c r="I55" s="2"/>
      <c r="J55" s="187" t="s">
        <v>69</v>
      </c>
      <c r="K55" s="187"/>
      <c r="L55" s="187"/>
      <c r="M55" s="187"/>
      <c r="N55" s="2"/>
      <c r="O55" s="187" t="s">
        <v>38</v>
      </c>
      <c r="P55" s="187"/>
      <c r="Q55" s="187"/>
      <c r="R55" s="187"/>
      <c r="S55" s="2"/>
      <c r="T55" s="190" t="s">
        <v>461</v>
      </c>
      <c r="U55" s="190"/>
      <c r="W55" s="188" t="s">
        <v>31</v>
      </c>
      <c r="X55" s="188"/>
      <c r="Y55" s="188"/>
      <c r="Z55" s="188"/>
      <c r="AA55" s="188"/>
      <c r="AB55" s="188"/>
      <c r="AC55" s="2"/>
      <c r="AD55" s="189" t="s">
        <v>32</v>
      </c>
      <c r="AE55" s="189"/>
      <c r="AF55" s="189"/>
      <c r="AG55" s="189"/>
      <c r="AH55" s="189"/>
      <c r="AI55" s="189"/>
      <c r="AJ55" s="21"/>
      <c r="AK55" s="189" t="s">
        <v>149</v>
      </c>
      <c r="AL55" s="189"/>
      <c r="AM55" s="51"/>
      <c r="AN55" s="188" t="s">
        <v>325</v>
      </c>
      <c r="AO55" s="188"/>
      <c r="AQ55" s="185" t="s">
        <v>143</v>
      </c>
      <c r="AR55" s="185"/>
      <c r="AS55" s="185"/>
    </row>
    <row r="56" spans="1:45" ht="30.6" customHeight="1" outlineLevel="1" x14ac:dyDescent="0.55000000000000004">
      <c r="B56" s="145" t="s">
        <v>145</v>
      </c>
      <c r="C56" s="145" t="s">
        <v>10</v>
      </c>
      <c r="D56" s="78" t="s">
        <v>124</v>
      </c>
      <c r="E56" s="13"/>
      <c r="F56" s="82" t="s">
        <v>127</v>
      </c>
      <c r="G56" s="82" t="s">
        <v>153</v>
      </c>
      <c r="H56" s="133" t="s">
        <v>2</v>
      </c>
      <c r="I56" s="2"/>
      <c r="J56" s="88" t="s">
        <v>125</v>
      </c>
      <c r="K56" s="88" t="s">
        <v>36</v>
      </c>
      <c r="L56" s="48" t="s">
        <v>129</v>
      </c>
      <c r="M56" s="133" t="s">
        <v>2</v>
      </c>
      <c r="N56" s="13"/>
      <c r="O56" s="91" t="s">
        <v>126</v>
      </c>
      <c r="P56" s="91" t="s">
        <v>36</v>
      </c>
      <c r="Q56" s="92" t="s">
        <v>130</v>
      </c>
      <c r="R56" s="133" t="s">
        <v>2</v>
      </c>
      <c r="S56" s="55"/>
      <c r="T56" s="91" t="s">
        <v>154</v>
      </c>
      <c r="U56" s="91" t="s">
        <v>36</v>
      </c>
      <c r="W56" s="53" t="s">
        <v>12</v>
      </c>
      <c r="X56" s="53" t="s">
        <v>34</v>
      </c>
      <c r="Y56" s="53" t="s">
        <v>35</v>
      </c>
      <c r="Z56" s="53" t="s">
        <v>41</v>
      </c>
      <c r="AA56" s="56" t="s">
        <v>119</v>
      </c>
      <c r="AB56" s="53" t="s">
        <v>1</v>
      </c>
      <c r="AC56" s="55"/>
      <c r="AD56" s="53" t="s">
        <v>12</v>
      </c>
      <c r="AE56" s="53" t="s">
        <v>34</v>
      </c>
      <c r="AF56" s="53" t="s">
        <v>35</v>
      </c>
      <c r="AG56" s="56" t="s">
        <v>41</v>
      </c>
      <c r="AH56" s="56" t="s">
        <v>119</v>
      </c>
      <c r="AI56" s="53" t="s">
        <v>1</v>
      </c>
      <c r="AJ56" s="57"/>
      <c r="AK56" s="58" t="s">
        <v>3</v>
      </c>
      <c r="AL56" s="58" t="s">
        <v>0</v>
      </c>
      <c r="AM56" s="51"/>
      <c r="AN56" s="76" t="s">
        <v>45</v>
      </c>
      <c r="AO56" s="76" t="s">
        <v>146</v>
      </c>
      <c r="AQ56" s="58" t="s">
        <v>3</v>
      </c>
      <c r="AR56" s="58" t="s">
        <v>0</v>
      </c>
      <c r="AS56" s="58" t="s">
        <v>12</v>
      </c>
    </row>
    <row r="57" spans="1:45" s="19" customFormat="1" outlineLevel="1" x14ac:dyDescent="0.55000000000000004">
      <c r="B57" s="15" t="s">
        <v>204</v>
      </c>
      <c r="C57" s="15" t="s">
        <v>205</v>
      </c>
      <c r="D57" s="16" t="s">
        <v>206</v>
      </c>
      <c r="E57" s="20"/>
      <c r="F57" s="83" t="s">
        <v>207</v>
      </c>
      <c r="G57" s="83" t="s">
        <v>208</v>
      </c>
      <c r="H57" s="18" t="s">
        <v>209</v>
      </c>
      <c r="I57" s="23"/>
      <c r="J57" s="18" t="s">
        <v>210</v>
      </c>
      <c r="K57" s="18" t="s">
        <v>211</v>
      </c>
      <c r="L57" s="18" t="s">
        <v>212</v>
      </c>
      <c r="M57" s="17" t="s">
        <v>213</v>
      </c>
      <c r="N57" s="20"/>
      <c r="O57" s="17" t="s">
        <v>214</v>
      </c>
      <c r="P57" s="17" t="s">
        <v>215</v>
      </c>
      <c r="Q57" s="17" t="s">
        <v>216</v>
      </c>
      <c r="R57" s="142" t="s">
        <v>217</v>
      </c>
      <c r="S57" s="61"/>
      <c r="T57" s="17" t="s">
        <v>218</v>
      </c>
      <c r="U57" s="17" t="s">
        <v>219</v>
      </c>
      <c r="W57" s="60" t="s">
        <v>220</v>
      </c>
      <c r="X57" s="60" t="s">
        <v>221</v>
      </c>
      <c r="Y57" s="60" t="s">
        <v>222</v>
      </c>
      <c r="Z57" s="60" t="s">
        <v>223</v>
      </c>
      <c r="AA57" s="60" t="s">
        <v>224</v>
      </c>
      <c r="AB57" s="60" t="s">
        <v>225</v>
      </c>
      <c r="AC57" s="61"/>
      <c r="AD57" s="60" t="s">
        <v>226</v>
      </c>
      <c r="AE57" s="60" t="s">
        <v>227</v>
      </c>
      <c r="AF57" s="60" t="s">
        <v>228</v>
      </c>
      <c r="AG57" s="60" t="s">
        <v>229</v>
      </c>
      <c r="AH57" s="60" t="s">
        <v>230</v>
      </c>
      <c r="AI57" s="60" t="s">
        <v>231</v>
      </c>
      <c r="AJ57" s="62"/>
      <c r="AK57" s="60" t="s">
        <v>232</v>
      </c>
      <c r="AL57" s="60" t="s">
        <v>233</v>
      </c>
      <c r="AN57" s="60" t="s">
        <v>234</v>
      </c>
      <c r="AO57" s="60" t="s">
        <v>235</v>
      </c>
      <c r="AQ57" s="60" t="s">
        <v>236</v>
      </c>
      <c r="AR57" s="60" t="s">
        <v>237</v>
      </c>
      <c r="AS57" s="60" t="s">
        <v>238</v>
      </c>
    </row>
    <row r="58" spans="1:45" outlineLevel="1" x14ac:dyDescent="0.55000000000000004">
      <c r="B58" s="1"/>
      <c r="C58" s="3">
        <v>0</v>
      </c>
      <c r="D58" s="87">
        <v>1</v>
      </c>
      <c r="E58" s="2"/>
      <c r="F58" s="84">
        <v>1</v>
      </c>
      <c r="G58" s="84"/>
      <c r="H58" s="5"/>
      <c r="I58" s="2"/>
      <c r="J58" s="2"/>
      <c r="K58" s="2"/>
      <c r="L58" s="55"/>
      <c r="M58" s="55"/>
      <c r="N58" s="2"/>
      <c r="O58" s="10"/>
      <c r="P58" s="10"/>
      <c r="Q58" s="49"/>
      <c r="R58" s="55"/>
      <c r="S58" s="55"/>
      <c r="T58" s="2"/>
      <c r="U58" s="2"/>
      <c r="W58" s="63">
        <f t="shared" ref="W58:W66" si="23">IFERROR(IF(C58&gt;=$F$7*4,0,-IF($F$22="pattern",U59*$F$21,IF(AND($F$22="single",C58=0),$F$21,IF(AND($F$22="annual",MOD(C58,4)=0),$F$21/$F$7,IF(AND($F$22="semi-ann",MOD(C58,2)=0),$F$21/(2*$F$7),IF($F$22="quarterly",$F$21/(4*$F$7),0)))))*F58),0)</f>
        <v>-1125000</v>
      </c>
      <c r="X58" s="63"/>
      <c r="Y58" s="63"/>
      <c r="Z58" s="63">
        <f>-$F$13*$F$21</f>
        <v>-900000</v>
      </c>
      <c r="AA58" s="63"/>
      <c r="AB58" s="64">
        <f>SUM(W58:AA58)</f>
        <v>-2025000</v>
      </c>
      <c r="AC58" s="55"/>
      <c r="AD58" s="64">
        <f t="shared" ref="AD58:AD66" si="24">W58*$D58</f>
        <v>-1125000</v>
      </c>
      <c r="AE58" s="64"/>
      <c r="AF58" s="64"/>
      <c r="AG58" s="64">
        <f t="shared" ref="AG58:AG66" si="25">Z58*$D58</f>
        <v>-900000</v>
      </c>
      <c r="AH58" s="64"/>
      <c r="AI58" s="64">
        <f>SUM(AD58:AH58)</f>
        <v>-2025000</v>
      </c>
      <c r="AJ58" s="57"/>
      <c r="AK58" s="51">
        <f ca="1">SUM(AD58:AD$66,AG58:AG$66)/D58+SUM(AE59:AF$67,AH59:AH$66)/D58</f>
        <v>-5192175.8887732374</v>
      </c>
      <c r="AL58" s="51">
        <f>SUM(AE59:$AF$67)*$G$14/D58</f>
        <v>96698.711917578607</v>
      </c>
      <c r="AM58" s="51"/>
      <c r="AN58" s="51">
        <f ca="1">-SUM(AD58:$AD$67,AH58:$AH$67)/D58</f>
        <v>7515466.2860258576</v>
      </c>
      <c r="AO58" s="51">
        <f ca="1">-SUM(W58:$W$67,AA58:$AA$67)</f>
        <v>7638547.3071559789</v>
      </c>
      <c r="AQ58" s="9">
        <f t="shared" ref="AQ58:AQ66" ca="1" si="26">AK58-AK39</f>
        <v>-99872.717165551148</v>
      </c>
      <c r="AR58" s="9">
        <f t="shared" ref="AR58:AR66" si="27">AL58-AL39</f>
        <v>-61043.02219221594</v>
      </c>
      <c r="AS58" s="9">
        <f t="shared" ref="AS58:AS66" ca="1" si="28">IF($F$27="yes",AN58-AN39,AO58-AO39)</f>
        <v>168328.43222228065</v>
      </c>
    </row>
    <row r="59" spans="1:45" outlineLevel="1" x14ac:dyDescent="0.55000000000000004">
      <c r="A59" s="9"/>
      <c r="B59" s="1" t="s">
        <v>6</v>
      </c>
      <c r="C59" s="3">
        <v>1</v>
      </c>
      <c r="D59" s="87">
        <f>D58/(1+$F$17)^(1/4)</f>
        <v>0.99506157747984325</v>
      </c>
      <c r="E59" s="4"/>
      <c r="F59" s="84">
        <f t="shared" ref="F59:F66" si="29">(1-IF(C59&lt;$F$8,$F$19,$G$19))^(C59/4)</f>
        <v>0.94574160900317583</v>
      </c>
      <c r="G59" s="84">
        <f>AVERAGE(F58:F59)</f>
        <v>0.97287080450158792</v>
      </c>
      <c r="H59" s="153">
        <f>F59*D59</f>
        <v>0.94107113734302528</v>
      </c>
      <c r="I59" s="4"/>
      <c r="J59" s="98">
        <v>1</v>
      </c>
      <c r="K59" s="94">
        <f t="shared" ref="K59:K66" si="30">J59/$J$69</f>
        <v>0.125</v>
      </c>
      <c r="L59" s="47">
        <f>J59*G59</f>
        <v>0.97287080450158792</v>
      </c>
      <c r="M59" s="47">
        <f>L59*D59</f>
        <v>0.96806635741143421</v>
      </c>
      <c r="N59" s="4"/>
      <c r="O59" s="98">
        <v>1</v>
      </c>
      <c r="P59" s="94">
        <f t="shared" ref="P59:P66" si="31">O59/$O$69</f>
        <v>0.125</v>
      </c>
      <c r="Q59" s="154">
        <f>O59*G59</f>
        <v>0.97287080450158792</v>
      </c>
      <c r="R59" s="154">
        <f>Q59*D59</f>
        <v>0.96806635741143421</v>
      </c>
      <c r="S59" s="51"/>
      <c r="T59" s="137">
        <v>0.20282873599525819</v>
      </c>
      <c r="U59" s="135">
        <f>T59/$T$69</f>
        <v>0.20949555849661408</v>
      </c>
      <c r="W59" s="63">
        <f t="shared" si="23"/>
        <v>-1063959.3101285729</v>
      </c>
      <c r="X59" s="63">
        <f>$F$21*IF(C59&lt;$F$8,$F$11,$G$11)*P59*((1+$F$18)^(MIN($F$8-1,C59)/4))*((1+$G$18)^(MAX(0,C59-$F$8+1)/4))*F59</f>
        <v>639965.57494415354</v>
      </c>
      <c r="Y59" s="63">
        <f>-$F$21*IF(C59&lt;$F$8,$F$12,$G$12)*IF($F$28="risk",P59*F59,IF($F$28="policies IF",F59/($F$7*4),1/($F$7*4)))</f>
        <v>-159593.89651928592</v>
      </c>
      <c r="Z59" s="63">
        <v>0</v>
      </c>
      <c r="AA59" s="63">
        <f t="shared" ref="AA59:AA66" ca="1" si="32">IF($F$25="no",0,1)*(F59-F58)*OFFSET(W59,-IF($F$22="single",C59,IF($F$22="annual",MOD(C59,4),IF($F$22="semi-ann",MOD(C59,2),0))),0)*IF($F$22="single",($F$7*4-C59)/($F$7*4),IF(AND($F$22="annual",MOD(C59,4)&lt;&gt;0),(4-MOD(C59,4))/4,IF(AND($F$22="semi-ann",MOD(C59,2)&lt;&gt;0),0.5,0)))</f>
        <v>0</v>
      </c>
      <c r="AB59" s="64">
        <f t="shared" ref="AB59:AB66" ca="1" si="33">SUM(W59:AA59)</f>
        <v>-583587.63170370529</v>
      </c>
      <c r="AC59" s="51"/>
      <c r="AD59" s="51">
        <f t="shared" si="24"/>
        <v>-1058705.0295109034</v>
      </c>
      <c r="AE59" s="64">
        <f t="shared" ref="AE59:AF66" si="34">X59*$D59</f>
        <v>636805.15453672432</v>
      </c>
      <c r="AF59" s="64">
        <f t="shared" si="34"/>
        <v>-158805.75442663551</v>
      </c>
      <c r="AG59" s="51">
        <f t="shared" si="25"/>
        <v>0</v>
      </c>
      <c r="AH59" s="64">
        <f t="shared" ref="AH59:AH66" ca="1" si="35">AA59*$D59</f>
        <v>0</v>
      </c>
      <c r="AI59" s="64">
        <f t="shared" ref="AI59:AI66" ca="1" si="36">SUM(AD59:AH59)</f>
        <v>-580705.62940081465</v>
      </c>
      <c r="AJ59" s="57"/>
      <c r="AK59" s="51">
        <f ca="1">SUM(AD59:AD$66,AG59:AG$66)/D59+SUM(AE60:AF$67,AH60:AH$66)/D59</f>
        <v>-3663266.044414388</v>
      </c>
      <c r="AL59" s="51">
        <f>SUM(AE60:$AF$67)*$G$14/D59</f>
        <v>82767.470655296478</v>
      </c>
      <c r="AM59" s="51"/>
      <c r="AN59" s="51">
        <f ca="1">-SUM(AD59:$AD$67,AH59:$AH$67)/D59</f>
        <v>6422181.7329242704</v>
      </c>
      <c r="AO59" s="51">
        <f ca="1">-SUM(W59:$W$67,AA59:$AA$67)</f>
        <v>6513547.3071559789</v>
      </c>
      <c r="AQ59" s="9">
        <f t="shared" ca="1" si="26"/>
        <v>-100368.37862687418</v>
      </c>
      <c r="AR59" s="9">
        <f t="shared" si="27"/>
        <v>-51738.540965880078</v>
      </c>
      <c r="AS59" s="9">
        <f t="shared" ca="1" si="28"/>
        <v>169163.83471322525</v>
      </c>
    </row>
    <row r="60" spans="1:45" outlineLevel="1" x14ac:dyDescent="0.55000000000000004">
      <c r="A60" s="9"/>
      <c r="B60" s="1" t="s">
        <v>7</v>
      </c>
      <c r="C60" s="3">
        <v>2</v>
      </c>
      <c r="D60" s="87">
        <f t="shared" ref="D60:D66" si="37">D59/(1+$F$17)^(1/4)</f>
        <v>0.99014754297667418</v>
      </c>
      <c r="E60" s="4"/>
      <c r="F60" s="84">
        <f t="shared" si="29"/>
        <v>0.89442719099991586</v>
      </c>
      <c r="G60" s="84">
        <f t="shared" ref="G60:G66" si="38">AVERAGE(F59:F60)</f>
        <v>0.92008440000154579</v>
      </c>
      <c r="H60" s="153">
        <f t="shared" ref="H60:H66" si="39">F60*D60</f>
        <v>0.88561488554009515</v>
      </c>
      <c r="I60" s="4"/>
      <c r="J60" s="98">
        <v>1</v>
      </c>
      <c r="K60" s="94">
        <f t="shared" si="30"/>
        <v>0.125</v>
      </c>
      <c r="L60" s="47">
        <f t="shared" ref="L60:L66" si="40">J60*G60</f>
        <v>0.92008440000154579</v>
      </c>
      <c r="M60" s="47">
        <f t="shared" ref="M60:M66" si="41">L60*D60</f>
        <v>0.91101930799269804</v>
      </c>
      <c r="N60" s="4"/>
      <c r="O60" s="98">
        <v>1</v>
      </c>
      <c r="P60" s="94">
        <f t="shared" si="31"/>
        <v>0.125</v>
      </c>
      <c r="Q60" s="154">
        <f t="shared" ref="Q60:Q66" si="42">O60*G60</f>
        <v>0.92008440000154579</v>
      </c>
      <c r="R60" s="154">
        <f t="shared" ref="R60:R66" si="43">Q60*D60</f>
        <v>0.91101930799269804</v>
      </c>
      <c r="S60" s="51"/>
      <c r="T60" s="137">
        <v>0.17818906429460918</v>
      </c>
      <c r="U60" s="135">
        <f t="shared" ref="U60:U66" si="44">T60/$T$69</f>
        <v>0.18404599998720564</v>
      </c>
      <c r="W60" s="63">
        <f t="shared" si="23"/>
        <v>-1006230.5898749053</v>
      </c>
      <c r="X60" s="63">
        <f t="shared" ref="X60:X66" si="45">$F$21*IF(C60&lt;$F$8,$F$11,$G$11)*P60*((1+$F$18)^(MIN($F$8-1,C60)/4))*((1+$G$18)^(MAX(0,C60-$F$8+1)/4))*F60</f>
        <v>606749.53646459419</v>
      </c>
      <c r="Y60" s="63">
        <f t="shared" ref="Y60:Y66" si="46">-$F$21*IF(C60&lt;$F$8,$F$12,$G$12)*IF($F$28="risk",P60*F60,IF($F$28="policies IF",F60/($F$7*4),1/($F$7*4)))</f>
        <v>-150934.58848123581</v>
      </c>
      <c r="Z60" s="63">
        <v>0</v>
      </c>
      <c r="AA60" s="63">
        <f t="shared" ca="1" si="32"/>
        <v>0</v>
      </c>
      <c r="AB60" s="64">
        <f t="shared" ca="1" si="33"/>
        <v>-550415.6418915469</v>
      </c>
      <c r="AC60" s="51"/>
      <c r="AD60" s="51">
        <f t="shared" si="24"/>
        <v>-996316.74623260705</v>
      </c>
      <c r="AE60" s="64">
        <f t="shared" si="34"/>
        <v>600771.56273265393</v>
      </c>
      <c r="AF60" s="64">
        <f t="shared" si="34"/>
        <v>-149447.51193489108</v>
      </c>
      <c r="AG60" s="51">
        <f t="shared" si="25"/>
        <v>0</v>
      </c>
      <c r="AH60" s="64">
        <f t="shared" ca="1" si="35"/>
        <v>0</v>
      </c>
      <c r="AI60" s="64">
        <f t="shared" ca="1" si="36"/>
        <v>-544992.69543484424</v>
      </c>
      <c r="AJ60" s="57"/>
      <c r="AK60" s="51">
        <f ca="1">SUM(AD60:AD$66,AG60:AG$66)/D60+SUM(AE61:AF$67,AH61:AH$66)/D60</f>
        <v>-3068021.8637292003</v>
      </c>
      <c r="AL60" s="51">
        <f>SUM(AE61:$AF$67)*$G$14/D60</f>
        <v>69503.791509145114</v>
      </c>
      <c r="AM60" s="51"/>
      <c r="AN60" s="51">
        <f ca="1">-SUM(AD60:$AD$67,AH60:$AH$67)/D60</f>
        <v>5384814.9140340379</v>
      </c>
      <c r="AO60" s="51">
        <f ca="1">-SUM(W60:$W$67,AA60:$AA$67)</f>
        <v>5449587.9970274065</v>
      </c>
      <c r="AQ60" s="9">
        <f t="shared" ca="1" si="26"/>
        <v>-100866.50002211146</v>
      </c>
      <c r="AR60" s="9">
        <f t="shared" si="27"/>
        <v>-42879.016844723999</v>
      </c>
      <c r="AS60" s="9">
        <f t="shared" ca="1" si="28"/>
        <v>170003.38324956689</v>
      </c>
    </row>
    <row r="61" spans="1:45" outlineLevel="1" x14ac:dyDescent="0.55000000000000004">
      <c r="A61" s="9"/>
      <c r="B61" s="1" t="s">
        <v>8</v>
      </c>
      <c r="C61" s="3">
        <v>3</v>
      </c>
      <c r="D61" s="87">
        <f t="shared" si="37"/>
        <v>0.98525777605216036</v>
      </c>
      <c r="E61" s="4"/>
      <c r="F61" s="84">
        <f t="shared" si="29"/>
        <v>0.84589701075245127</v>
      </c>
      <c r="G61" s="84">
        <f t="shared" si="38"/>
        <v>0.87016210087618351</v>
      </c>
      <c r="H61" s="153">
        <f t="shared" si="39"/>
        <v>0.83342660758313047</v>
      </c>
      <c r="I61" s="4"/>
      <c r="J61" s="98">
        <v>1</v>
      </c>
      <c r="K61" s="94">
        <f t="shared" si="30"/>
        <v>0.125</v>
      </c>
      <c r="L61" s="47">
        <f t="shared" si="40"/>
        <v>0.87016210087618351</v>
      </c>
      <c r="M61" s="47">
        <f t="shared" si="41"/>
        <v>0.85733397631414421</v>
      </c>
      <c r="N61" s="4"/>
      <c r="O61" s="98">
        <v>1</v>
      </c>
      <c r="P61" s="94">
        <f t="shared" si="31"/>
        <v>0.125</v>
      </c>
      <c r="Q61" s="154">
        <f t="shared" si="42"/>
        <v>0.87016210087618351</v>
      </c>
      <c r="R61" s="154">
        <f t="shared" si="43"/>
        <v>0.85733397631414421</v>
      </c>
      <c r="S61" s="51"/>
      <c r="T61" s="137">
        <v>0.20194032380116383</v>
      </c>
      <c r="U61" s="135">
        <f t="shared" si="44"/>
        <v>0.20857794488597978</v>
      </c>
      <c r="W61" s="63">
        <f t="shared" si="23"/>
        <v>-951634.13709650771</v>
      </c>
      <c r="X61" s="63">
        <f t="shared" si="45"/>
        <v>575257.50511209294</v>
      </c>
      <c r="Y61" s="63">
        <f t="shared" si="46"/>
        <v>-142745.12056447615</v>
      </c>
      <c r="Z61" s="63">
        <v>0</v>
      </c>
      <c r="AA61" s="63">
        <f t="shared" ca="1" si="32"/>
        <v>0</v>
      </c>
      <c r="AB61" s="64">
        <f t="shared" ca="1" si="33"/>
        <v>-519121.75254889089</v>
      </c>
      <c r="AC61" s="51"/>
      <c r="AD61" s="51">
        <f t="shared" si="24"/>
        <v>-937604.93353102182</v>
      </c>
      <c r="AE61" s="64">
        <f t="shared" si="34"/>
        <v>566776.93014405493</v>
      </c>
      <c r="AF61" s="64">
        <f t="shared" si="34"/>
        <v>-140640.74002965327</v>
      </c>
      <c r="AG61" s="51">
        <f t="shared" si="25"/>
        <v>0</v>
      </c>
      <c r="AH61" s="64">
        <f t="shared" ca="1" si="35"/>
        <v>0</v>
      </c>
      <c r="AI61" s="64">
        <f t="shared" ca="1" si="36"/>
        <v>-511468.74341662019</v>
      </c>
      <c r="AJ61" s="57"/>
      <c r="AK61" s="51">
        <f ca="1">SUM(AD61:AD$66,AG61:AG$66)/D61+SUM(AE62:AF$67,AH62:AH$66)/D61</f>
        <v>-2504536.1874122787</v>
      </c>
      <c r="AL61" s="51">
        <f>SUM(AE62:$AF$67)*$G$14/D61</f>
        <v>56873.36253405473</v>
      </c>
      <c r="AM61" s="51"/>
      <c r="AN61" s="51">
        <f ca="1">-SUM(AD61:$AD$67,AH61:$AH$67)/D61</f>
        <v>4400314.9385474361</v>
      </c>
      <c r="AO61" s="51">
        <f ca="1">-SUM(W61:$W$67,AA61:$AA$67)</f>
        <v>4443357.4071525009</v>
      </c>
      <c r="AQ61" s="9">
        <f t="shared" ca="1" si="26"/>
        <v>-101367.09355974942</v>
      </c>
      <c r="AR61" s="9">
        <f t="shared" si="27"/>
        <v>-34441.574780298251</v>
      </c>
      <c r="AS61" s="9">
        <f t="shared" ca="1" si="28"/>
        <v>170847.09840784688</v>
      </c>
    </row>
    <row r="62" spans="1:45" outlineLevel="1" x14ac:dyDescent="0.55000000000000004">
      <c r="A62" s="9"/>
      <c r="B62" s="1" t="s">
        <v>9</v>
      </c>
      <c r="C62" s="3">
        <v>4</v>
      </c>
      <c r="D62" s="87">
        <f t="shared" si="37"/>
        <v>0.98039215686274483</v>
      </c>
      <c r="E62" s="4"/>
      <c r="F62" s="84">
        <f t="shared" si="29"/>
        <v>0.8</v>
      </c>
      <c r="G62" s="84">
        <f t="shared" si="38"/>
        <v>0.82294850537622566</v>
      </c>
      <c r="H62" s="153">
        <f t="shared" si="39"/>
        <v>0.78431372549019596</v>
      </c>
      <c r="I62" s="4"/>
      <c r="J62" s="98">
        <v>1</v>
      </c>
      <c r="K62" s="94">
        <f t="shared" si="30"/>
        <v>0.125</v>
      </c>
      <c r="L62" s="47">
        <f t="shared" si="40"/>
        <v>0.82294850537622566</v>
      </c>
      <c r="M62" s="47">
        <f t="shared" si="41"/>
        <v>0.80681226017277008</v>
      </c>
      <c r="N62" s="4"/>
      <c r="O62" s="98">
        <v>1</v>
      </c>
      <c r="P62" s="94">
        <f t="shared" si="31"/>
        <v>0.125</v>
      </c>
      <c r="Q62" s="154">
        <f t="shared" si="42"/>
        <v>0.82294850537622566</v>
      </c>
      <c r="R62" s="154">
        <f t="shared" si="43"/>
        <v>0.80681226017277008</v>
      </c>
      <c r="S62" s="51"/>
      <c r="T62" s="137">
        <v>0.20709640104961757</v>
      </c>
      <c r="U62" s="135">
        <f t="shared" si="44"/>
        <v>0.21390349837580555</v>
      </c>
      <c r="W62" s="63">
        <f t="shared" si="23"/>
        <v>-900000</v>
      </c>
      <c r="X62" s="63">
        <f t="shared" si="45"/>
        <v>545400</v>
      </c>
      <c r="Y62" s="63">
        <f t="shared" si="46"/>
        <v>-135000</v>
      </c>
      <c r="Z62" s="63">
        <v>0</v>
      </c>
      <c r="AA62" s="63">
        <f t="shared" ca="1" si="32"/>
        <v>0</v>
      </c>
      <c r="AB62" s="64">
        <f t="shared" ca="1" si="33"/>
        <v>-489600</v>
      </c>
      <c r="AC62" s="51"/>
      <c r="AD62" s="51">
        <f t="shared" si="24"/>
        <v>-882352.94117647037</v>
      </c>
      <c r="AE62" s="64">
        <f t="shared" si="34"/>
        <v>534705.88235294109</v>
      </c>
      <c r="AF62" s="64">
        <f t="shared" si="34"/>
        <v>-132352.94117647054</v>
      </c>
      <c r="AG62" s="51">
        <f t="shared" si="25"/>
        <v>0</v>
      </c>
      <c r="AH62" s="64">
        <f t="shared" ca="1" si="35"/>
        <v>0</v>
      </c>
      <c r="AI62" s="64">
        <f t="shared" ca="1" si="36"/>
        <v>-479999.99999999983</v>
      </c>
      <c r="AJ62" s="57"/>
      <c r="AK62" s="51">
        <f ca="1">SUM(AD62:AD$66,AG62:AG$66)/D62+SUM(AE63:AF$67,AH63:AH$66)/D62</f>
        <v>-1971008.9969313769</v>
      </c>
      <c r="AL62" s="51">
        <f>SUM(AE63:$AF$67)*$G$14/D62</f>
        <v>44843.621140649258</v>
      </c>
      <c r="AM62" s="51"/>
      <c r="AN62" s="51">
        <f ca="1">-SUM(AD62:$AD$67,AH62:$AH$67)/D62</f>
        <v>3465796.3682863521</v>
      </c>
      <c r="AO62" s="51">
        <f ca="1">-SUM(W62:$W$67,AA62:$AA$67)</f>
        <v>3491723.2700559935</v>
      </c>
      <c r="AQ62" s="9">
        <f t="shared" ca="1" si="26"/>
        <v>-101870.17150886124</v>
      </c>
      <c r="AR62" s="9">
        <f t="shared" si="27"/>
        <v>-26404.505959206268</v>
      </c>
      <c r="AS62" s="9">
        <f t="shared" ca="1" si="28"/>
        <v>171695.00086672604</v>
      </c>
    </row>
    <row r="63" spans="1:45" outlineLevel="1" x14ac:dyDescent="0.55000000000000004">
      <c r="A63" s="9"/>
      <c r="B63" s="1" t="s">
        <v>15</v>
      </c>
      <c r="C63" s="3">
        <v>5</v>
      </c>
      <c r="D63" s="87">
        <f t="shared" si="37"/>
        <v>0.97555056615670888</v>
      </c>
      <c r="E63" s="4"/>
      <c r="F63" s="84">
        <f t="shared" si="29"/>
        <v>0.75659328720254071</v>
      </c>
      <c r="G63" s="84">
        <f t="shared" si="38"/>
        <v>0.77829664360127038</v>
      </c>
      <c r="H63" s="153">
        <f t="shared" si="39"/>
        <v>0.73809500968080399</v>
      </c>
      <c r="I63" s="4"/>
      <c r="J63" s="98">
        <v>1</v>
      </c>
      <c r="K63" s="94">
        <f t="shared" si="30"/>
        <v>0.125</v>
      </c>
      <c r="L63" s="47">
        <f t="shared" si="40"/>
        <v>0.77829664360127038</v>
      </c>
      <c r="M63" s="47">
        <f t="shared" si="41"/>
        <v>0.75926773130308556</v>
      </c>
      <c r="N63" s="4"/>
      <c r="O63" s="98">
        <v>1</v>
      </c>
      <c r="P63" s="94">
        <f t="shared" si="31"/>
        <v>0.125</v>
      </c>
      <c r="Q63" s="154">
        <f t="shared" si="42"/>
        <v>0.77829664360127038</v>
      </c>
      <c r="R63" s="154">
        <f t="shared" si="43"/>
        <v>0.75926773130308556</v>
      </c>
      <c r="S63" s="51"/>
      <c r="T63" s="137">
        <v>8.3175297485096111E-2</v>
      </c>
      <c r="U63" s="135">
        <f t="shared" si="44"/>
        <v>8.5909204700509473E-2</v>
      </c>
      <c r="W63" s="63">
        <f t="shared" si="23"/>
        <v>-851167.44810285827</v>
      </c>
      <c r="X63" s="63">
        <f t="shared" si="45"/>
        <v>517092.18455487624</v>
      </c>
      <c r="Y63" s="63">
        <f t="shared" si="46"/>
        <v>-127675.11721542875</v>
      </c>
      <c r="Z63" s="63">
        <v>0</v>
      </c>
      <c r="AA63" s="63">
        <f t="shared" ca="1" si="32"/>
        <v>0</v>
      </c>
      <c r="AB63" s="64">
        <f t="shared" ca="1" si="33"/>
        <v>-461750.38076341077</v>
      </c>
      <c r="AC63" s="51"/>
      <c r="AD63" s="51">
        <f t="shared" si="24"/>
        <v>-830356.88589090446</v>
      </c>
      <c r="AE63" s="64">
        <f t="shared" si="34"/>
        <v>504449.57339771889</v>
      </c>
      <c r="AF63" s="64">
        <f t="shared" si="34"/>
        <v>-124553.53288363568</v>
      </c>
      <c r="AG63" s="51">
        <f t="shared" si="25"/>
        <v>0</v>
      </c>
      <c r="AH63" s="64">
        <f t="shared" ca="1" si="35"/>
        <v>0</v>
      </c>
      <c r="AI63" s="64">
        <f t="shared" ca="1" si="36"/>
        <v>-450460.84537682123</v>
      </c>
      <c r="AJ63" s="57"/>
      <c r="AK63" s="51">
        <f ca="1">SUM(AD63:AD$66,AG63:AG$66)/D63+SUM(AE64:AF$67,AH64:AH$66)/D63</f>
        <v>-1465741.4086368806</v>
      </c>
      <c r="AL63" s="51">
        <f>SUM(AE64:$AF$67)*$G$14/D63</f>
        <v>33383.66494368155</v>
      </c>
      <c r="AM63" s="51"/>
      <c r="AN63" s="51">
        <f ca="1">-SUM(AD63:$AD$67,AH63:$AH$67)/D63</f>
        <v>2578530.2400929322</v>
      </c>
      <c r="AO63" s="51">
        <f ca="1">-SUM(W63:$W$67,AA63:$AA$67)</f>
        <v>2591723.2700559935</v>
      </c>
      <c r="AQ63" s="9">
        <f t="shared" ca="1" si="26"/>
        <v>-102375.74619941041</v>
      </c>
      <c r="AR63" s="9">
        <f t="shared" si="27"/>
        <v>-18747.208368717111</v>
      </c>
      <c r="AS63" s="9">
        <f t="shared" ca="1" si="28"/>
        <v>172547.11140748905</v>
      </c>
    </row>
    <row r="64" spans="1:45" outlineLevel="1" x14ac:dyDescent="0.55000000000000004">
      <c r="A64" s="9"/>
      <c r="B64" s="1" t="s">
        <v>16</v>
      </c>
      <c r="C64" s="3">
        <v>6</v>
      </c>
      <c r="D64" s="87">
        <f t="shared" si="37"/>
        <v>0.9707328852712489</v>
      </c>
      <c r="E64" s="4"/>
      <c r="F64" s="84">
        <f t="shared" si="29"/>
        <v>0.71554175279993271</v>
      </c>
      <c r="G64" s="84">
        <f t="shared" si="38"/>
        <v>0.73606752000123676</v>
      </c>
      <c r="H64" s="153">
        <f t="shared" si="39"/>
        <v>0.69459991022752543</v>
      </c>
      <c r="I64" s="4"/>
      <c r="J64" s="98">
        <v>1</v>
      </c>
      <c r="K64" s="94">
        <f t="shared" si="30"/>
        <v>0.125</v>
      </c>
      <c r="L64" s="47">
        <f t="shared" si="40"/>
        <v>0.73606752000123676</v>
      </c>
      <c r="M64" s="47">
        <f t="shared" si="41"/>
        <v>0.7145249474452533</v>
      </c>
      <c r="N64" s="4"/>
      <c r="O64" s="98">
        <v>1</v>
      </c>
      <c r="P64" s="94">
        <f t="shared" si="31"/>
        <v>0.125</v>
      </c>
      <c r="Q64" s="154">
        <f t="shared" si="42"/>
        <v>0.73606752000123676</v>
      </c>
      <c r="R64" s="154">
        <f t="shared" si="43"/>
        <v>0.7145249474452533</v>
      </c>
      <c r="S64" s="51"/>
      <c r="T64" s="137">
        <v>5.1890782453176132E-2</v>
      </c>
      <c r="U64" s="135">
        <f t="shared" si="44"/>
        <v>5.3596392037411206E-2</v>
      </c>
      <c r="W64" s="63">
        <f t="shared" si="23"/>
        <v>-804984.47189992433</v>
      </c>
      <c r="X64" s="63">
        <f t="shared" si="45"/>
        <v>490253.62546339212</v>
      </c>
      <c r="Y64" s="63">
        <f t="shared" si="46"/>
        <v>-120747.67078498864</v>
      </c>
      <c r="Z64" s="63">
        <v>0</v>
      </c>
      <c r="AA64" s="63">
        <f t="shared" ca="1" si="32"/>
        <v>0</v>
      </c>
      <c r="AB64" s="64">
        <f t="shared" ca="1" si="33"/>
        <v>-435478.51722152089</v>
      </c>
      <c r="AC64" s="51"/>
      <c r="AD64" s="51">
        <f t="shared" si="24"/>
        <v>-781424.89900596614</v>
      </c>
      <c r="AE64" s="64">
        <f t="shared" si="34"/>
        <v>475905.31636076886</v>
      </c>
      <c r="AF64" s="64">
        <f t="shared" si="34"/>
        <v>-117213.73485089492</v>
      </c>
      <c r="AG64" s="51">
        <f t="shared" si="25"/>
        <v>0</v>
      </c>
      <c r="AH64" s="64">
        <f t="shared" ca="1" si="35"/>
        <v>0</v>
      </c>
      <c r="AI64" s="64">
        <f t="shared" ca="1" si="36"/>
        <v>-422733.31749609218</v>
      </c>
      <c r="AJ64" s="57"/>
      <c r="AK64" s="51">
        <f ca="1">SUM(AD64:AD$66,AG64:AG$66)/D64+SUM(AE65:AF$67,AH65:AH$66)/D64</f>
        <v>-987130.00372522895</v>
      </c>
      <c r="AL64" s="51">
        <f>SUM(AE65:$AF$67)*$G$14/D64</f>
        <v>22464.167148107699</v>
      </c>
      <c r="AM64" s="51"/>
      <c r="AN64" s="51">
        <f ca="1">-SUM(AD64:$AD$67,AH64:$AH$67)/D64</f>
        <v>1735935.575328819</v>
      </c>
      <c r="AO64" s="51">
        <f ca="1">-SUM(W64:$W$67,AA64:$AA$67)</f>
        <v>1740555.8219531351</v>
      </c>
      <c r="AQ64" s="9">
        <f t="shared" ca="1" si="26"/>
        <v>-102883.83002255368</v>
      </c>
      <c r="AR64" s="9">
        <f t="shared" si="27"/>
        <v>-11450.130387471574</v>
      </c>
      <c r="AS64" s="9">
        <f t="shared" ca="1" si="28"/>
        <v>173403.45091455826</v>
      </c>
    </row>
    <row r="65" spans="1:45" outlineLevel="1" x14ac:dyDescent="0.55000000000000004">
      <c r="A65" s="9"/>
      <c r="B65" s="1" t="s">
        <v>17</v>
      </c>
      <c r="C65" s="3">
        <v>7</v>
      </c>
      <c r="D65" s="87">
        <f t="shared" si="37"/>
        <v>0.96593899612956868</v>
      </c>
      <c r="E65" s="4"/>
      <c r="F65" s="84">
        <f t="shared" si="29"/>
        <v>0.83161897782507621</v>
      </c>
      <c r="G65" s="84">
        <f t="shared" si="38"/>
        <v>0.7735803653125044</v>
      </c>
      <c r="H65" s="153">
        <f t="shared" si="39"/>
        <v>0.80329320060265219</v>
      </c>
      <c r="I65" s="4"/>
      <c r="J65" s="98">
        <v>1</v>
      </c>
      <c r="K65" s="94">
        <f t="shared" si="30"/>
        <v>0.125</v>
      </c>
      <c r="L65" s="47">
        <f t="shared" si="40"/>
        <v>0.7735803653125044</v>
      </c>
      <c r="M65" s="47">
        <f t="shared" si="41"/>
        <v>0.74723144149550547</v>
      </c>
      <c r="N65" s="4"/>
      <c r="O65" s="98">
        <v>1</v>
      </c>
      <c r="P65" s="94">
        <f t="shared" si="31"/>
        <v>0.125</v>
      </c>
      <c r="Q65" s="154">
        <f t="shared" si="42"/>
        <v>0.7735803653125044</v>
      </c>
      <c r="R65" s="154">
        <f t="shared" si="43"/>
        <v>0.74723144149550547</v>
      </c>
      <c r="S65" s="51"/>
      <c r="T65" s="137">
        <v>2.7830892374108518E-2</v>
      </c>
      <c r="U65" s="135">
        <f t="shared" si="44"/>
        <v>2.8745672119700673E-2</v>
      </c>
      <c r="W65" s="63">
        <f t="shared" si="23"/>
        <v>-935571.35005321074</v>
      </c>
      <c r="X65" s="63">
        <f t="shared" si="45"/>
        <v>475412.38832895161</v>
      </c>
      <c r="Y65" s="63">
        <f t="shared" si="46"/>
        <v>-93557.135005321077</v>
      </c>
      <c r="Z65" s="63">
        <v>0</v>
      </c>
      <c r="AA65" s="63">
        <f t="shared" ca="1" si="32"/>
        <v>0</v>
      </c>
      <c r="AB65" s="64">
        <f t="shared" ca="1" si="33"/>
        <v>-553716.0967295802</v>
      </c>
      <c r="AC65" s="51"/>
      <c r="AD65" s="51">
        <f t="shared" si="24"/>
        <v>-903704.85067798372</v>
      </c>
      <c r="AE65" s="64">
        <f t="shared" si="34"/>
        <v>459219.36513002816</v>
      </c>
      <c r="AF65" s="64">
        <f t="shared" si="34"/>
        <v>-90370.485067798378</v>
      </c>
      <c r="AG65" s="51">
        <f t="shared" si="25"/>
        <v>0</v>
      </c>
      <c r="AH65" s="64">
        <f t="shared" ca="1" si="35"/>
        <v>0</v>
      </c>
      <c r="AI65" s="64">
        <f t="shared" ca="1" si="36"/>
        <v>-534855.9706157539</v>
      </c>
      <c r="AJ65" s="57"/>
      <c r="AK65" s="51">
        <f ca="1">SUM(AD65:AD$66,AG65:AG$66)/D65+SUM(AE66:AF$67,AH66:AH$66)/D65</f>
        <v>-564904.76095974888</v>
      </c>
      <c r="AL65" s="51">
        <f>SUM(AE66:$AF$67)*$G$14/D65</f>
        <v>11119.997672803856</v>
      </c>
      <c r="AM65" s="51"/>
      <c r="AN65" s="51">
        <f ca="1">-SUM(AD65:$AD$67,AH65:$AH$67)/D65</f>
        <v>935571.35005321074</v>
      </c>
      <c r="AO65" s="51">
        <f ca="1">-SUM(W65:$W$67,AA65:$AA$67)</f>
        <v>935571.35005321074</v>
      </c>
      <c r="AQ65" s="9">
        <f t="shared" ca="1" si="26"/>
        <v>-134637.72107558494</v>
      </c>
      <c r="AR65" s="9">
        <f t="shared" si="27"/>
        <v>-5432.0158168482594</v>
      </c>
      <c r="AS65" s="9">
        <f t="shared" ca="1" si="28"/>
        <v>174264.04037600453</v>
      </c>
    </row>
    <row r="66" spans="1:45" outlineLevel="1" x14ac:dyDescent="0.55000000000000004">
      <c r="A66" s="9"/>
      <c r="B66" s="1" t="s">
        <v>18</v>
      </c>
      <c r="C66" s="3">
        <v>8</v>
      </c>
      <c r="D66" s="87">
        <f t="shared" si="37"/>
        <v>0.96116878123798488</v>
      </c>
      <c r="E66" s="4"/>
      <c r="F66" s="84">
        <f t="shared" si="29"/>
        <v>0.81</v>
      </c>
      <c r="G66" s="84">
        <f t="shared" si="38"/>
        <v>0.82080948891253813</v>
      </c>
      <c r="H66" s="153">
        <f t="shared" si="39"/>
        <v>0.77854671280276777</v>
      </c>
      <c r="I66" s="4"/>
      <c r="J66" s="98">
        <v>1</v>
      </c>
      <c r="K66" s="94">
        <f t="shared" si="30"/>
        <v>0.125</v>
      </c>
      <c r="L66" s="47">
        <f t="shared" si="40"/>
        <v>0.82080948891253813</v>
      </c>
      <c r="M66" s="47">
        <f t="shared" si="41"/>
        <v>0.78893645608663754</v>
      </c>
      <c r="N66" s="4"/>
      <c r="O66" s="98">
        <v>1</v>
      </c>
      <c r="P66" s="94">
        <f t="shared" si="31"/>
        <v>0.125</v>
      </c>
      <c r="Q66" s="154">
        <f t="shared" si="42"/>
        <v>0.82080948891253813</v>
      </c>
      <c r="R66" s="154">
        <f t="shared" si="43"/>
        <v>0.78893645608663754</v>
      </c>
      <c r="S66" s="51"/>
      <c r="T66" s="137">
        <v>1.5225286106495761E-2</v>
      </c>
      <c r="U66" s="135">
        <f t="shared" si="44"/>
        <v>1.5725729396773625E-2</v>
      </c>
      <c r="W66" s="63">
        <f t="shared" si="23"/>
        <v>0</v>
      </c>
      <c r="X66" s="63">
        <f t="shared" si="45"/>
        <v>463631.18201160559</v>
      </c>
      <c r="Y66" s="63">
        <f t="shared" si="46"/>
        <v>-91125</v>
      </c>
      <c r="Z66" s="63">
        <v>0</v>
      </c>
      <c r="AA66" s="63">
        <f t="shared" ca="1" si="32"/>
        <v>0</v>
      </c>
      <c r="AB66" s="64">
        <f t="shared" ca="1" si="33"/>
        <v>372506.18201160559</v>
      </c>
      <c r="AC66" s="51"/>
      <c r="AD66" s="51">
        <f t="shared" si="24"/>
        <v>0</v>
      </c>
      <c r="AE66" s="64">
        <f t="shared" si="34"/>
        <v>445627.81815802131</v>
      </c>
      <c r="AF66" s="64">
        <f t="shared" si="34"/>
        <v>-87586.505190311378</v>
      </c>
      <c r="AG66" s="51">
        <f t="shared" si="25"/>
        <v>0</v>
      </c>
      <c r="AH66" s="64">
        <f t="shared" ca="1" si="35"/>
        <v>0</v>
      </c>
      <c r="AI66" s="64">
        <f t="shared" ca="1" si="36"/>
        <v>358041.31296770996</v>
      </c>
      <c r="AJ66" s="57"/>
      <c r="AK66" s="51">
        <f ca="1">SUM(AD66:AD$66,AG66:AG$66)/D66+SUM(AE67:AF$67,AH$66:AH67)/D66</f>
        <v>0</v>
      </c>
      <c r="AL66" s="51">
        <f>SUM(AE67:$AF$67)*$G$14/D66</f>
        <v>0</v>
      </c>
      <c r="AM66" s="51"/>
      <c r="AN66" s="51">
        <f ca="1">-SUM(AD66:$AD$67,AH66:$AH$67)/D66</f>
        <v>0</v>
      </c>
      <c r="AO66" s="51">
        <f ca="1">-SUM(W66:$W$67,AA66:$AA$67)</f>
        <v>0</v>
      </c>
      <c r="AQ66" s="9">
        <f t="shared" ca="1" si="26"/>
        <v>0</v>
      </c>
      <c r="AR66" s="9">
        <f t="shared" si="27"/>
        <v>0</v>
      </c>
      <c r="AS66" s="9">
        <f t="shared" ca="1" si="28"/>
        <v>0</v>
      </c>
    </row>
    <row r="67" spans="1:45" outlineLevel="1" x14ac:dyDescent="0.55000000000000004">
      <c r="B67" s="8"/>
      <c r="C67" s="6"/>
      <c r="D67" s="7"/>
      <c r="E67" s="2"/>
      <c r="F67" s="85"/>
      <c r="G67" s="85"/>
      <c r="H67" s="79"/>
      <c r="I67" s="2"/>
      <c r="J67" s="6"/>
      <c r="K67" s="6"/>
      <c r="L67" s="71"/>
      <c r="M67" s="90"/>
      <c r="N67" s="2"/>
      <c r="O67" s="12"/>
      <c r="P67" s="12"/>
      <c r="Q67" s="50"/>
      <c r="R67" s="90"/>
      <c r="S67" s="55"/>
      <c r="T67" s="136"/>
      <c r="U67" s="136"/>
      <c r="W67" s="66"/>
      <c r="X67" s="66"/>
      <c r="Y67" s="66"/>
      <c r="Z67" s="66"/>
      <c r="AA67" s="66"/>
      <c r="AB67" s="66"/>
      <c r="AC67" s="55"/>
      <c r="AD67" s="67"/>
      <c r="AE67" s="68"/>
      <c r="AF67" s="68"/>
      <c r="AG67" s="67"/>
      <c r="AH67" s="67"/>
      <c r="AI67" s="68"/>
      <c r="AJ67" s="57"/>
      <c r="AK67" s="67"/>
      <c r="AL67" s="67"/>
      <c r="AM67" s="51"/>
      <c r="AN67" s="121"/>
      <c r="AO67" s="121"/>
      <c r="AQ67" s="67"/>
      <c r="AR67" s="67"/>
      <c r="AS67" s="67"/>
    </row>
    <row r="68" spans="1:45" outlineLevel="1" x14ac:dyDescent="0.55000000000000004">
      <c r="A68" s="9"/>
      <c r="B68" s="4"/>
      <c r="C68" s="4"/>
      <c r="D68" s="4"/>
      <c r="E68" s="4"/>
      <c r="F68" s="3"/>
      <c r="G68" s="3"/>
      <c r="H68" s="4"/>
      <c r="I68" s="4"/>
      <c r="J68" s="4"/>
      <c r="K68" s="4"/>
      <c r="L68" s="51"/>
      <c r="M68" s="51"/>
      <c r="N68" s="4"/>
      <c r="O68" s="4"/>
      <c r="P68" s="4"/>
      <c r="Q68" s="51"/>
      <c r="R68" s="51"/>
      <c r="S68" s="51"/>
      <c r="T68" s="4"/>
      <c r="U68" s="4"/>
      <c r="W68" s="51"/>
      <c r="X68" s="51"/>
      <c r="Y68" s="51"/>
      <c r="Z68" s="51"/>
      <c r="AA68" s="51"/>
      <c r="AB68" s="51"/>
      <c r="AC68" s="51"/>
      <c r="AD68" s="51"/>
      <c r="AE68" s="51"/>
      <c r="AF68" s="51"/>
      <c r="AG68" s="51"/>
      <c r="AH68" s="51"/>
      <c r="AI68" s="51"/>
      <c r="AJ68" s="57"/>
      <c r="AK68" s="51"/>
      <c r="AL68" s="51"/>
      <c r="AM68" s="51"/>
      <c r="AN68" s="70"/>
      <c r="AO68" s="70"/>
      <c r="AQ68" s="51"/>
      <c r="AR68" s="51"/>
      <c r="AS68" s="51"/>
    </row>
    <row r="69" spans="1:45" outlineLevel="1" x14ac:dyDescent="0.55000000000000004">
      <c r="A69" s="9"/>
      <c r="B69" s="24"/>
      <c r="C69" s="24"/>
      <c r="D69" s="25"/>
      <c r="E69" s="4"/>
      <c r="F69" s="26"/>
      <c r="G69" s="26"/>
      <c r="H69" s="26"/>
      <c r="I69" s="4"/>
      <c r="J69" s="80">
        <f>SUM(J59:J66)</f>
        <v>8</v>
      </c>
      <c r="K69" s="95">
        <f>SUM(K59:K66)</f>
        <v>1</v>
      </c>
      <c r="L69" s="81">
        <f>SUM(L59:L66)</f>
        <v>6.6948198285830927</v>
      </c>
      <c r="M69" s="81">
        <f>SUM(M59:M66)</f>
        <v>6.5531924782215292</v>
      </c>
      <c r="N69" s="4"/>
      <c r="O69" s="80">
        <f>SUM(O59:O66)</f>
        <v>8</v>
      </c>
      <c r="P69" s="95">
        <f>SUM(P59:P66)</f>
        <v>1</v>
      </c>
      <c r="Q69" s="81">
        <f>SUM(Q59:Q66)</f>
        <v>6.6948198285830927</v>
      </c>
      <c r="R69" s="81">
        <f>SUM(R59:R66)</f>
        <v>6.5531924782215292</v>
      </c>
      <c r="S69" s="52"/>
      <c r="T69" s="80">
        <f>SUM(T59:T66)</f>
        <v>0.9681767835595253</v>
      </c>
      <c r="U69" s="95">
        <f>SUM(U59:U66)</f>
        <v>1</v>
      </c>
      <c r="W69" s="52">
        <f t="shared" ref="W69:AB69" si="47">SUM(W58:W66)</f>
        <v>-7638547.3071559789</v>
      </c>
      <c r="X69" s="52">
        <f t="shared" si="47"/>
        <v>4313761.9968796661</v>
      </c>
      <c r="Y69" s="52">
        <f t="shared" si="47"/>
        <v>-1021378.5285707364</v>
      </c>
      <c r="Z69" s="52">
        <f t="shared" si="47"/>
        <v>-900000</v>
      </c>
      <c r="AA69" s="52">
        <f t="shared" ca="1" si="47"/>
        <v>0</v>
      </c>
      <c r="AB69" s="52">
        <f t="shared" ca="1" si="47"/>
        <v>-5246163.8388470495</v>
      </c>
      <c r="AC69" s="51"/>
      <c r="AD69" s="52">
        <f t="shared" ref="AD69:AI69" si="48">SUM(AD58:AD66)</f>
        <v>-7515466.2860258576</v>
      </c>
      <c r="AE69" s="52">
        <f t="shared" si="48"/>
        <v>4224261.6028129114</v>
      </c>
      <c r="AF69" s="52">
        <f t="shared" si="48"/>
        <v>-1000971.2055602907</v>
      </c>
      <c r="AG69" s="52">
        <f t="shared" si="48"/>
        <v>-900000</v>
      </c>
      <c r="AH69" s="52">
        <f t="shared" ca="1" si="48"/>
        <v>0</v>
      </c>
      <c r="AI69" s="52">
        <f t="shared" ca="1" si="48"/>
        <v>-5192175.8887732364</v>
      </c>
      <c r="AJ69" s="52"/>
      <c r="AK69" s="52"/>
      <c r="AL69" s="52"/>
      <c r="AM69" s="51"/>
      <c r="AN69" s="70"/>
      <c r="AO69" s="70"/>
      <c r="AQ69" s="52"/>
      <c r="AR69" s="52"/>
      <c r="AS69" s="52"/>
    </row>
    <row r="70" spans="1:45" ht="15.3" x14ac:dyDescent="0.55000000000000004">
      <c r="A70" s="9"/>
      <c r="B70" s="24"/>
      <c r="C70" s="24"/>
      <c r="D70" s="4"/>
      <c r="E70" s="4"/>
      <c r="F70" s="4"/>
      <c r="G70" s="4"/>
      <c r="H70" s="4"/>
      <c r="I70" s="4"/>
      <c r="J70" s="24"/>
      <c r="K70" s="24"/>
      <c r="L70" s="52"/>
      <c r="M70" s="52"/>
      <c r="N70" s="4"/>
      <c r="O70" s="24"/>
      <c r="P70" s="24"/>
      <c r="Q70" s="52"/>
      <c r="R70" s="52"/>
      <c r="S70" s="51"/>
      <c r="W70" s="52"/>
      <c r="X70" s="52"/>
      <c r="Y70" s="52"/>
      <c r="Z70" s="52"/>
      <c r="AA70" s="52"/>
      <c r="AB70" s="52"/>
      <c r="AC70" s="51"/>
      <c r="AD70" s="52"/>
      <c r="AE70" s="73"/>
      <c r="AF70" s="73"/>
      <c r="AG70" s="52"/>
      <c r="AH70" s="52"/>
      <c r="AI70" s="52"/>
      <c r="AJ70" s="57"/>
      <c r="AK70" s="52"/>
      <c r="AL70" s="52"/>
      <c r="AM70" s="52"/>
      <c r="AN70" s="70"/>
      <c r="AO70" s="70"/>
    </row>
    <row r="71" spans="1:45" ht="15.3" x14ac:dyDescent="0.55000000000000004">
      <c r="A71" s="9"/>
      <c r="B71" s="24"/>
      <c r="C71" s="24"/>
      <c r="D71" s="4"/>
      <c r="E71" s="4"/>
      <c r="F71" s="4"/>
      <c r="G71" s="4"/>
      <c r="H71" s="4"/>
      <c r="I71" s="4"/>
      <c r="J71" s="24"/>
      <c r="K71" s="24"/>
      <c r="L71" s="52"/>
      <c r="M71" s="52"/>
      <c r="N71" s="4"/>
      <c r="O71" s="24"/>
      <c r="P71" s="24"/>
      <c r="Q71" s="52"/>
      <c r="R71" s="52"/>
      <c r="S71" s="51"/>
      <c r="W71" s="52"/>
      <c r="X71" s="52"/>
      <c r="Y71" s="52"/>
      <c r="Z71" s="52"/>
      <c r="AA71" s="52"/>
      <c r="AB71" s="52"/>
      <c r="AC71" s="51"/>
      <c r="AD71" s="52"/>
      <c r="AE71" s="73"/>
      <c r="AF71" s="73"/>
      <c r="AG71" s="52"/>
      <c r="AH71" s="52"/>
      <c r="AI71" s="52"/>
      <c r="AJ71" s="57"/>
      <c r="AK71" s="52"/>
      <c r="AL71" s="52"/>
      <c r="AM71" s="52"/>
      <c r="AN71" s="70"/>
      <c r="AO71" s="70"/>
    </row>
    <row r="72" spans="1:45" ht="18.3" x14ac:dyDescent="0.55000000000000004">
      <c r="A72" s="2"/>
      <c r="B72" s="143" t="s">
        <v>166</v>
      </c>
      <c r="C72" s="107"/>
      <c r="D72" s="108"/>
      <c r="H72" s="105"/>
      <c r="J72" s="2"/>
      <c r="K72" s="2"/>
      <c r="N72" s="2"/>
      <c r="O72" s="2"/>
      <c r="P72" s="2"/>
      <c r="Q72" s="2"/>
      <c r="S72" s="2"/>
      <c r="W72" s="55"/>
      <c r="X72" s="55"/>
      <c r="Y72" s="55"/>
      <c r="Z72" s="55"/>
      <c r="AA72" s="55"/>
      <c r="AB72" s="55"/>
      <c r="AC72" s="2"/>
      <c r="AD72" s="22"/>
      <c r="AE72" s="2"/>
      <c r="AF72" s="2"/>
      <c r="AG72" s="2"/>
      <c r="AH72" s="2"/>
      <c r="AI72" s="2"/>
      <c r="AJ72" s="21"/>
      <c r="AK72" s="2"/>
      <c r="AL72" s="2"/>
      <c r="AM72" s="2"/>
      <c r="AN72" s="70"/>
      <c r="AO72" s="70"/>
    </row>
    <row r="73" spans="1:45" outlineLevel="1" x14ac:dyDescent="0.55000000000000004">
      <c r="D73" s="2"/>
      <c r="E73" s="2"/>
      <c r="F73" s="2"/>
      <c r="G73" s="2"/>
      <c r="H73" s="2"/>
      <c r="I73" s="2"/>
      <c r="J73" s="2"/>
      <c r="K73" s="2"/>
      <c r="L73" s="2"/>
      <c r="M73" s="2"/>
      <c r="N73" s="2"/>
      <c r="O73" s="2"/>
      <c r="P73" s="2"/>
      <c r="Q73" s="2"/>
      <c r="R73" s="2"/>
      <c r="S73" s="2"/>
      <c r="W73" s="55"/>
      <c r="X73" s="55"/>
      <c r="Y73" s="55"/>
      <c r="Z73" s="55"/>
      <c r="AA73" s="113"/>
      <c r="AB73" s="114"/>
      <c r="AC73" s="2"/>
      <c r="AD73" s="2"/>
      <c r="AE73" s="2"/>
      <c r="AF73" s="2"/>
      <c r="AG73" s="2"/>
      <c r="AH73" s="2"/>
      <c r="AI73" s="2"/>
      <c r="AJ73" s="21"/>
      <c r="AK73" s="2"/>
      <c r="AL73" s="2"/>
      <c r="AM73" s="51"/>
      <c r="AN73" s="70"/>
      <c r="AO73" s="70"/>
    </row>
    <row r="74" spans="1:45" ht="19.899999999999999" customHeight="1" outlineLevel="1" x14ac:dyDescent="0.55000000000000004">
      <c r="B74" s="185" t="s">
        <v>67</v>
      </c>
      <c r="C74" s="185"/>
      <c r="D74" s="185"/>
      <c r="E74" s="2"/>
      <c r="F74" s="187" t="s">
        <v>127</v>
      </c>
      <c r="G74" s="187"/>
      <c r="H74" s="187"/>
      <c r="I74" s="2"/>
      <c r="J74" s="187" t="s">
        <v>69</v>
      </c>
      <c r="K74" s="187"/>
      <c r="L74" s="187"/>
      <c r="M74" s="187"/>
      <c r="N74" s="2"/>
      <c r="O74" s="187" t="s">
        <v>38</v>
      </c>
      <c r="P74" s="187"/>
      <c r="Q74" s="187"/>
      <c r="R74" s="187"/>
      <c r="S74" s="2"/>
      <c r="T74" s="190" t="s">
        <v>461</v>
      </c>
      <c r="U74" s="190"/>
      <c r="W74" s="188" t="s">
        <v>31</v>
      </c>
      <c r="X74" s="188"/>
      <c r="Y74" s="188"/>
      <c r="Z74" s="188"/>
      <c r="AA74" s="188"/>
      <c r="AB74" s="188"/>
      <c r="AC74" s="2"/>
      <c r="AD74" s="189" t="s">
        <v>32</v>
      </c>
      <c r="AE74" s="189"/>
      <c r="AF74" s="189"/>
      <c r="AG74" s="189"/>
      <c r="AH74" s="189"/>
      <c r="AI74" s="189"/>
      <c r="AJ74" s="21"/>
      <c r="AK74" s="189" t="s">
        <v>149</v>
      </c>
      <c r="AL74" s="189"/>
      <c r="AM74" s="51"/>
      <c r="AN74" s="188" t="s">
        <v>325</v>
      </c>
      <c r="AO74" s="188"/>
      <c r="AQ74" s="185" t="s">
        <v>143</v>
      </c>
      <c r="AR74" s="185"/>
      <c r="AS74" s="185"/>
    </row>
    <row r="75" spans="1:45" ht="30.6" customHeight="1" outlineLevel="1" x14ac:dyDescent="0.55000000000000004">
      <c r="B75" s="145" t="s">
        <v>145</v>
      </c>
      <c r="C75" s="145" t="s">
        <v>10</v>
      </c>
      <c r="D75" s="78" t="s">
        <v>124</v>
      </c>
      <c r="E75" s="13"/>
      <c r="F75" s="82" t="s">
        <v>127</v>
      </c>
      <c r="G75" s="82" t="s">
        <v>153</v>
      </c>
      <c r="H75" s="133" t="s">
        <v>2</v>
      </c>
      <c r="I75" s="2"/>
      <c r="J75" s="88" t="s">
        <v>125</v>
      </c>
      <c r="K75" s="88" t="s">
        <v>36</v>
      </c>
      <c r="L75" s="48" t="s">
        <v>129</v>
      </c>
      <c r="M75" s="133" t="s">
        <v>2</v>
      </c>
      <c r="N75" s="13"/>
      <c r="O75" s="91" t="s">
        <v>126</v>
      </c>
      <c r="P75" s="91" t="s">
        <v>36</v>
      </c>
      <c r="Q75" s="92" t="s">
        <v>130</v>
      </c>
      <c r="R75" s="133" t="s">
        <v>2</v>
      </c>
      <c r="S75" s="55"/>
      <c r="T75" s="91" t="s">
        <v>154</v>
      </c>
      <c r="U75" s="91" t="s">
        <v>36</v>
      </c>
      <c r="W75" s="53" t="s">
        <v>12</v>
      </c>
      <c r="X75" s="53" t="s">
        <v>34</v>
      </c>
      <c r="Y75" s="53" t="s">
        <v>35</v>
      </c>
      <c r="Z75" s="53" t="s">
        <v>41</v>
      </c>
      <c r="AA75" s="56" t="s">
        <v>119</v>
      </c>
      <c r="AB75" s="53" t="s">
        <v>1</v>
      </c>
      <c r="AC75" s="55"/>
      <c r="AD75" s="53" t="s">
        <v>12</v>
      </c>
      <c r="AE75" s="53" t="s">
        <v>34</v>
      </c>
      <c r="AF75" s="53" t="s">
        <v>35</v>
      </c>
      <c r="AG75" s="56" t="s">
        <v>41</v>
      </c>
      <c r="AH75" s="56" t="s">
        <v>119</v>
      </c>
      <c r="AI75" s="53" t="s">
        <v>1</v>
      </c>
      <c r="AJ75" s="57"/>
      <c r="AK75" s="58" t="s">
        <v>3</v>
      </c>
      <c r="AL75" s="58" t="s">
        <v>0</v>
      </c>
      <c r="AM75" s="51"/>
      <c r="AN75" s="76" t="s">
        <v>45</v>
      </c>
      <c r="AO75" s="76" t="s">
        <v>146</v>
      </c>
      <c r="AQ75" s="58" t="s">
        <v>3</v>
      </c>
      <c r="AR75" s="58" t="s">
        <v>0</v>
      </c>
      <c r="AS75" s="58" t="s">
        <v>12</v>
      </c>
    </row>
    <row r="76" spans="1:45" s="19" customFormat="1" outlineLevel="1" x14ac:dyDescent="0.55000000000000004">
      <c r="B76" s="15" t="s">
        <v>239</v>
      </c>
      <c r="C76" s="15" t="s">
        <v>240</v>
      </c>
      <c r="D76" s="16" t="s">
        <v>241</v>
      </c>
      <c r="E76" s="20"/>
      <c r="F76" s="83" t="s">
        <v>242</v>
      </c>
      <c r="G76" s="83" t="s">
        <v>243</v>
      </c>
      <c r="H76" s="18" t="s">
        <v>244</v>
      </c>
      <c r="I76" s="23"/>
      <c r="J76" s="18" t="s">
        <v>245</v>
      </c>
      <c r="K76" s="18" t="s">
        <v>246</v>
      </c>
      <c r="L76" s="18" t="s">
        <v>247</v>
      </c>
      <c r="M76" s="17" t="s">
        <v>248</v>
      </c>
      <c r="N76" s="20"/>
      <c r="O76" s="17" t="s">
        <v>249</v>
      </c>
      <c r="P76" s="17" t="s">
        <v>250</v>
      </c>
      <c r="Q76" s="17" t="s">
        <v>251</v>
      </c>
      <c r="R76" s="142" t="s">
        <v>252</v>
      </c>
      <c r="S76" s="61"/>
      <c r="T76" s="17" t="s">
        <v>253</v>
      </c>
      <c r="U76" s="17" t="s">
        <v>254</v>
      </c>
      <c r="W76" s="60" t="s">
        <v>255</v>
      </c>
      <c r="X76" s="60" t="s">
        <v>256</v>
      </c>
      <c r="Y76" s="60" t="s">
        <v>257</v>
      </c>
      <c r="Z76" s="60" t="s">
        <v>258</v>
      </c>
      <c r="AA76" s="60" t="s">
        <v>259</v>
      </c>
      <c r="AB76" s="60" t="s">
        <v>260</v>
      </c>
      <c r="AC76" s="61"/>
      <c r="AD76" s="60" t="s">
        <v>261</v>
      </c>
      <c r="AE76" s="60" t="s">
        <v>262</v>
      </c>
      <c r="AF76" s="60" t="s">
        <v>263</v>
      </c>
      <c r="AG76" s="60" t="s">
        <v>264</v>
      </c>
      <c r="AH76" s="60" t="s">
        <v>265</v>
      </c>
      <c r="AI76" s="60" t="s">
        <v>266</v>
      </c>
      <c r="AJ76" s="62"/>
      <c r="AK76" s="60" t="s">
        <v>267</v>
      </c>
      <c r="AL76" s="60" t="s">
        <v>268</v>
      </c>
      <c r="AN76" s="60" t="s">
        <v>293</v>
      </c>
      <c r="AO76" s="60" t="s">
        <v>294</v>
      </c>
      <c r="AQ76" s="60" t="s">
        <v>295</v>
      </c>
      <c r="AR76" s="60" t="s">
        <v>296</v>
      </c>
      <c r="AS76" s="60" t="s">
        <v>297</v>
      </c>
    </row>
    <row r="77" spans="1:45" outlineLevel="1" x14ac:dyDescent="0.55000000000000004">
      <c r="B77" s="1"/>
      <c r="C77" s="3">
        <v>0</v>
      </c>
      <c r="D77" s="87">
        <v>1</v>
      </c>
      <c r="E77" s="2"/>
      <c r="F77" s="84">
        <v>1</v>
      </c>
      <c r="G77" s="84"/>
      <c r="H77" s="5"/>
      <c r="I77" s="2"/>
      <c r="J77" s="2"/>
      <c r="K77" s="2"/>
      <c r="L77" s="55"/>
      <c r="M77" s="55"/>
      <c r="N77" s="2"/>
      <c r="O77" s="10"/>
      <c r="P77" s="10"/>
      <c r="Q77" s="49"/>
      <c r="R77" s="55"/>
      <c r="S77" s="55"/>
      <c r="T77" s="2"/>
      <c r="U77" s="2"/>
      <c r="W77" s="63">
        <f t="shared" ref="W77:W85" si="49">IFERROR(IF(C77&gt;=$F$7*4,0,-IF($F$22="pattern",U78*$F$21,IF(AND($F$22="single",C77=0),$F$21,IF(AND($F$22="annual",MOD(C77,4)=0),$F$21/$F$7,IF(AND($F$22="semi-ann",MOD(C77,2)=0),$F$21/(2*$F$7),IF($F$22="quarterly",$F$21/(4*$F$7),0)))))*F77),0)</f>
        <v>-1125000</v>
      </c>
      <c r="X77" s="63"/>
      <c r="Y77" s="63"/>
      <c r="Z77" s="63">
        <f>-$F$13*$F$21</f>
        <v>-900000</v>
      </c>
      <c r="AA77" s="63"/>
      <c r="AB77" s="64">
        <f>SUM(W77:AA77)</f>
        <v>-2025000</v>
      </c>
      <c r="AC77" s="55"/>
      <c r="AD77" s="64">
        <f t="shared" ref="AD77:AD85" si="50">W77*$D77</f>
        <v>-1125000</v>
      </c>
      <c r="AE77" s="64"/>
      <c r="AF77" s="64"/>
      <c r="AG77" s="64">
        <f t="shared" ref="AG77:AG85" si="51">Z77*$D77</f>
        <v>-900000</v>
      </c>
      <c r="AH77" s="64"/>
      <c r="AI77" s="64">
        <f>SUM(AD77:AH77)</f>
        <v>-2025000</v>
      </c>
      <c r="AJ77" s="57"/>
      <c r="AK77" s="51">
        <f ca="1">SUM(AD77:AD$85,AG77:AG$85)/D77+SUM(AE78:AF$86,AH78:AH$85)/D77</f>
        <v>-5191726.7864124859</v>
      </c>
      <c r="AL77" s="51">
        <f>SUM(AE78:$AF$86)*$G$14/D77</f>
        <v>96779.044054661368</v>
      </c>
      <c r="AM77" s="51"/>
      <c r="AN77" s="51">
        <f ca="1">-SUM(AD77:$AD$86,AH77:$AH$86)/D77</f>
        <v>7517694.9215678656</v>
      </c>
      <c r="AO77" s="51">
        <f ca="1">-SUM(W77:$W$86,AA77:$AA$86)</f>
        <v>7638547.3071559789</v>
      </c>
      <c r="AQ77" s="9">
        <f t="shared" ref="AQ77:AQ85" ca="1" si="52">AK77-AK58</f>
        <v>449.10236075147986</v>
      </c>
      <c r="AR77" s="9">
        <f t="shared" ref="AR77:AR85" si="53">AL77-AL58</f>
        <v>80.332137082761619</v>
      </c>
      <c r="AS77" s="9">
        <f t="shared" ref="AS77:AS85" ca="1" si="54">IF($F$27="yes",AN77-AN58,AO77-AO58)</f>
        <v>2228.6355420080945</v>
      </c>
    </row>
    <row r="78" spans="1:45" outlineLevel="1" x14ac:dyDescent="0.55000000000000004">
      <c r="A78" s="9"/>
      <c r="B78" s="1" t="s">
        <v>6</v>
      </c>
      <c r="C78" s="3">
        <v>1</v>
      </c>
      <c r="D78" s="87">
        <f>D77/(1+IF(C78&lt;$F$8,$F$17,$G$17))^(1/4)</f>
        <v>0.99506157747984325</v>
      </c>
      <c r="E78" s="4"/>
      <c r="F78" s="111">
        <f t="shared" ref="F78:F85" si="55">(1-IF(C78&lt;$F$8,$F$19,$G$19))^(C78/4)</f>
        <v>0.94574160900317583</v>
      </c>
      <c r="G78" s="84">
        <f>AVERAGE(F77:F78)</f>
        <v>0.97287080450158792</v>
      </c>
      <c r="H78" s="153">
        <f>F78*D78</f>
        <v>0.94107113734302528</v>
      </c>
      <c r="I78" s="4"/>
      <c r="J78" s="115">
        <f t="shared" ref="J78:J85" si="56">J59</f>
        <v>1</v>
      </c>
      <c r="K78" s="155">
        <f t="shared" ref="K78:K85" si="57">J78/$J$69</f>
        <v>0.125</v>
      </c>
      <c r="L78" s="154">
        <f>J78*G78</f>
        <v>0.97287080450158792</v>
      </c>
      <c r="M78" s="154">
        <f>L78*D78</f>
        <v>0.96806635741143421</v>
      </c>
      <c r="N78" s="4"/>
      <c r="O78" s="115">
        <f t="shared" ref="O78:O85" si="58">O59</f>
        <v>1</v>
      </c>
      <c r="P78" s="94">
        <f t="shared" ref="P78:P85" si="59">O78/$O$69</f>
        <v>0.125</v>
      </c>
      <c r="Q78" s="154">
        <f>O78*G78</f>
        <v>0.97287080450158792</v>
      </c>
      <c r="R78" s="154">
        <f>Q78*D78</f>
        <v>0.96806635741143421</v>
      </c>
      <c r="S78" s="51"/>
      <c r="T78" s="138">
        <f t="shared" ref="T78:T85" si="60">T59</f>
        <v>0.20282873599525819</v>
      </c>
      <c r="U78" s="135">
        <f>T78/$T$88</f>
        <v>0.20949555849661408</v>
      </c>
      <c r="W78" s="63">
        <f t="shared" si="49"/>
        <v>-1063959.3101285729</v>
      </c>
      <c r="X78" s="63">
        <f>$F$21*IF(C78&lt;$F$8,$F$11,$G$11)*P78*((1+$F$18)^(MIN($F$8-1,C78)/4))*((1+$G$18)^(MAX(0,C78-$F$8+1)/4))*F78</f>
        <v>639965.57494415354</v>
      </c>
      <c r="Y78" s="63">
        <f>-$F$21*IF(C78&lt;$F$8,$F$12,$G$12)*IF($F$28="risk",P78*F78,IF($F$28="policies IF",F78/($F$7*4),1/($F$7*4)))</f>
        <v>-159593.89651928592</v>
      </c>
      <c r="Z78" s="63">
        <v>0</v>
      </c>
      <c r="AA78" s="63">
        <f t="shared" ref="AA78:AA85" ca="1" si="61">IF($F$25="no",0,1)*(F78-F77)*OFFSET(W78,-IF($F$22="single",C78,IF($F$22="annual",MOD(C78,4),IF($F$22="semi-ann",MOD(C78,2),0))),0)*IF($F$22="single",($F$7*4-C78)/($F$7*4),IF(AND($F$22="annual",MOD(C78,4)&lt;&gt;0),(4-MOD(C78,4))/4,IF(AND($F$22="semi-ann",MOD(C78,2)&lt;&gt;0),0.5,0)))</f>
        <v>0</v>
      </c>
      <c r="AB78" s="64">
        <f t="shared" ref="AB78:AB85" ca="1" si="62">SUM(W78:AA78)</f>
        <v>-583587.63170370529</v>
      </c>
      <c r="AC78" s="51"/>
      <c r="AD78" s="51">
        <f t="shared" si="50"/>
        <v>-1058705.0295109034</v>
      </c>
      <c r="AE78" s="64">
        <f t="shared" ref="AE78:AF85" si="63">X78*$D78</f>
        <v>636805.15453672432</v>
      </c>
      <c r="AF78" s="64">
        <f t="shared" si="63"/>
        <v>-158805.75442663551</v>
      </c>
      <c r="AG78" s="51">
        <f t="shared" si="51"/>
        <v>0</v>
      </c>
      <c r="AH78" s="64">
        <f t="shared" ref="AH78:AH85" ca="1" si="64">AA78*$D78</f>
        <v>0</v>
      </c>
      <c r="AI78" s="64">
        <f t="shared" ref="AI78:AI85" ca="1" si="65">SUM(AD78:AH78)</f>
        <v>-580705.62940081465</v>
      </c>
      <c r="AJ78" s="57"/>
      <c r="AK78" s="51">
        <f ca="1">SUM(AD78:AD$85,AG78:AG$85)/D78+SUM(AE79:AF$86,AH79:AH$85)/D78</f>
        <v>-3662814.7131893514</v>
      </c>
      <c r="AL78" s="51">
        <f>SUM(AE79:$AF$86)*$G$14/D78</f>
        <v>82848.201475278707</v>
      </c>
      <c r="AM78" s="51"/>
      <c r="AN78" s="51">
        <f ca="1">-SUM(AD78:$AD$86,AH78:$AH$86)/D78</f>
        <v>6424421.4290319746</v>
      </c>
      <c r="AO78" s="51">
        <f ca="1">-SUM(W78:$W$86,AA78:$AA$86)</f>
        <v>6513547.3071559789</v>
      </c>
      <c r="AQ78" s="9">
        <f t="shared" ca="1" si="52"/>
        <v>451.33122503664345</v>
      </c>
      <c r="AR78" s="9">
        <f t="shared" si="53"/>
        <v>80.73081998222915</v>
      </c>
      <c r="AS78" s="9">
        <f t="shared" ca="1" si="54"/>
        <v>2239.6961077041924</v>
      </c>
    </row>
    <row r="79" spans="1:45" outlineLevel="1" x14ac:dyDescent="0.55000000000000004">
      <c r="A79" s="9"/>
      <c r="B79" s="1" t="s">
        <v>7</v>
      </c>
      <c r="C79" s="3">
        <v>2</v>
      </c>
      <c r="D79" s="87">
        <f t="shared" ref="D79:D85" si="66">D78/(1+IF(C79&lt;$F$8,$F$17,$G$17))^(1/4)</f>
        <v>0.99014754297667418</v>
      </c>
      <c r="E79" s="4"/>
      <c r="F79" s="111">
        <f t="shared" si="55"/>
        <v>0.89442719099991586</v>
      </c>
      <c r="G79" s="84">
        <f t="shared" ref="G79:G85" si="67">AVERAGE(F78:F79)</f>
        <v>0.92008440000154579</v>
      </c>
      <c r="H79" s="153">
        <f t="shared" ref="H79:H85" si="68">F79*D79</f>
        <v>0.88561488554009515</v>
      </c>
      <c r="I79" s="4"/>
      <c r="J79" s="115">
        <f t="shared" si="56"/>
        <v>1</v>
      </c>
      <c r="K79" s="155">
        <f t="shared" si="57"/>
        <v>0.125</v>
      </c>
      <c r="L79" s="154">
        <f t="shared" ref="L79:L85" si="69">J79*G79</f>
        <v>0.92008440000154579</v>
      </c>
      <c r="M79" s="154">
        <f t="shared" ref="M79:M85" si="70">L79*D79</f>
        <v>0.91101930799269804</v>
      </c>
      <c r="N79" s="4"/>
      <c r="O79" s="115">
        <f t="shared" si="58"/>
        <v>1</v>
      </c>
      <c r="P79" s="94">
        <f t="shared" si="59"/>
        <v>0.125</v>
      </c>
      <c r="Q79" s="154">
        <f t="shared" ref="Q79:Q85" si="71">O79*G79</f>
        <v>0.92008440000154579</v>
      </c>
      <c r="R79" s="154">
        <f t="shared" ref="R79:R85" si="72">Q79*D79</f>
        <v>0.91101930799269804</v>
      </c>
      <c r="S79" s="51"/>
      <c r="T79" s="138">
        <f t="shared" si="60"/>
        <v>0.17818906429460918</v>
      </c>
      <c r="U79" s="135">
        <f t="shared" ref="U79:U85" si="73">T79/$T$88</f>
        <v>0.18404599998720564</v>
      </c>
      <c r="W79" s="63">
        <f t="shared" si="49"/>
        <v>-1006230.5898749053</v>
      </c>
      <c r="X79" s="63">
        <f t="shared" ref="X79:X85" si="74">$F$21*IF(C79&lt;$F$8,$F$11,$G$11)*P79*((1+$F$18)^(MIN($F$8-1,C79)/4))*((1+$G$18)^(MAX(0,C79-$F$8+1)/4))*F79</f>
        <v>606749.53646459419</v>
      </c>
      <c r="Y79" s="63">
        <f t="shared" ref="Y79:Y85" si="75">-$F$21*IF(C79&lt;$F$8,$F$12,$G$12)*IF($F$28="risk",P79*F79,IF($F$28="policies IF",F79/($F$7*4),1/($F$7*4)))</f>
        <v>-150934.58848123581</v>
      </c>
      <c r="Z79" s="63">
        <v>0</v>
      </c>
      <c r="AA79" s="63">
        <f t="shared" ca="1" si="61"/>
        <v>0</v>
      </c>
      <c r="AB79" s="64">
        <f t="shared" ca="1" si="62"/>
        <v>-550415.6418915469</v>
      </c>
      <c r="AC79" s="51"/>
      <c r="AD79" s="51">
        <f t="shared" si="50"/>
        <v>-996316.74623260705</v>
      </c>
      <c r="AE79" s="64">
        <f t="shared" si="63"/>
        <v>600771.56273265393</v>
      </c>
      <c r="AF79" s="64">
        <f t="shared" si="63"/>
        <v>-149447.51193489108</v>
      </c>
      <c r="AG79" s="51">
        <f t="shared" si="51"/>
        <v>0</v>
      </c>
      <c r="AH79" s="64">
        <f t="shared" ca="1" si="64"/>
        <v>0</v>
      </c>
      <c r="AI79" s="64">
        <f t="shared" ca="1" si="65"/>
        <v>-544992.69543484424</v>
      </c>
      <c r="AJ79" s="57"/>
      <c r="AK79" s="51">
        <f ca="1">SUM(AD79:AD$85,AG79:AG$85)/D79+SUM(AE80:AF$86,AH80:AH$85)/D79</f>
        <v>-3067568.2925781771</v>
      </c>
      <c r="AL79" s="51">
        <f>SUM(AE80:$AF$86)*$G$14/D79</f>
        <v>69584.922990662773</v>
      </c>
      <c r="AM79" s="51"/>
      <c r="AN79" s="51">
        <f ca="1">-SUM(AD79:$AD$86,AH79:$AH$86)/D79</f>
        <v>5387065.7256002696</v>
      </c>
      <c r="AO79" s="51">
        <f ca="1">-SUM(W79:$W$86,AA79:$AA$86)</f>
        <v>5449587.9970274065</v>
      </c>
      <c r="AQ79" s="9">
        <f t="shared" ca="1" si="52"/>
        <v>453.57115102326497</v>
      </c>
      <c r="AR79" s="9">
        <f t="shared" si="53"/>
        <v>81.131481517659267</v>
      </c>
      <c r="AS79" s="9">
        <f t="shared" ca="1" si="54"/>
        <v>2250.8115662317723</v>
      </c>
    </row>
    <row r="80" spans="1:45" outlineLevel="1" x14ac:dyDescent="0.55000000000000004">
      <c r="A80" s="9"/>
      <c r="B80" s="1" t="s">
        <v>8</v>
      </c>
      <c r="C80" s="3">
        <v>3</v>
      </c>
      <c r="D80" s="87">
        <f t="shared" si="66"/>
        <v>0.98525777605216036</v>
      </c>
      <c r="E80" s="4"/>
      <c r="F80" s="111">
        <f t="shared" si="55"/>
        <v>0.84589701075245127</v>
      </c>
      <c r="G80" s="84">
        <f t="shared" si="67"/>
        <v>0.87016210087618351</v>
      </c>
      <c r="H80" s="153">
        <f t="shared" si="68"/>
        <v>0.83342660758313047</v>
      </c>
      <c r="I80" s="4"/>
      <c r="J80" s="115">
        <f t="shared" si="56"/>
        <v>1</v>
      </c>
      <c r="K80" s="155">
        <f t="shared" si="57"/>
        <v>0.125</v>
      </c>
      <c r="L80" s="154">
        <f t="shared" si="69"/>
        <v>0.87016210087618351</v>
      </c>
      <c r="M80" s="154">
        <f t="shared" si="70"/>
        <v>0.85733397631414421</v>
      </c>
      <c r="N80" s="4"/>
      <c r="O80" s="115">
        <f t="shared" si="58"/>
        <v>1</v>
      </c>
      <c r="P80" s="94">
        <f t="shared" si="59"/>
        <v>0.125</v>
      </c>
      <c r="Q80" s="154">
        <f t="shared" si="71"/>
        <v>0.87016210087618351</v>
      </c>
      <c r="R80" s="154">
        <f t="shared" si="72"/>
        <v>0.85733397631414421</v>
      </c>
      <c r="S80" s="51"/>
      <c r="T80" s="138">
        <f t="shared" si="60"/>
        <v>0.20194032380116383</v>
      </c>
      <c r="U80" s="135">
        <f t="shared" si="73"/>
        <v>0.20857794488597978</v>
      </c>
      <c r="W80" s="63">
        <f t="shared" si="49"/>
        <v>-951634.13709650771</v>
      </c>
      <c r="X80" s="63">
        <f t="shared" si="74"/>
        <v>575257.50511209294</v>
      </c>
      <c r="Y80" s="63">
        <f t="shared" si="75"/>
        <v>-142745.12056447615</v>
      </c>
      <c r="Z80" s="63">
        <v>0</v>
      </c>
      <c r="AA80" s="63">
        <f t="shared" ca="1" si="61"/>
        <v>0</v>
      </c>
      <c r="AB80" s="64">
        <f t="shared" ca="1" si="62"/>
        <v>-519121.75254889089</v>
      </c>
      <c r="AC80" s="51"/>
      <c r="AD80" s="51">
        <f t="shared" si="50"/>
        <v>-937604.93353102182</v>
      </c>
      <c r="AE80" s="64">
        <f t="shared" si="63"/>
        <v>566776.93014405493</v>
      </c>
      <c r="AF80" s="64">
        <f t="shared" si="63"/>
        <v>-140640.74002965327</v>
      </c>
      <c r="AG80" s="51">
        <f t="shared" si="51"/>
        <v>0</v>
      </c>
      <c r="AH80" s="64">
        <f t="shared" ca="1" si="64"/>
        <v>0</v>
      </c>
      <c r="AI80" s="64">
        <f t="shared" ca="1" si="65"/>
        <v>-511468.74341662019</v>
      </c>
      <c r="AJ80" s="57"/>
      <c r="AK80" s="51">
        <f ca="1">SUM(AD80:AD$85,AG80:AG$85)/D80+SUM(AE81:AF$86,AH81:AH$85)/D80</f>
        <v>-2504080.3652186692</v>
      </c>
      <c r="AL80" s="51">
        <f>SUM(AE81:$AF$86)*$G$14/D80</f>
        <v>56954.896665563589</v>
      </c>
      <c r="AM80" s="51"/>
      <c r="AN80" s="51">
        <f ca="1">-SUM(AD80:$AD$86,AH80:$AH$86)/D80</f>
        <v>4402576.9207374556</v>
      </c>
      <c r="AO80" s="51">
        <f ca="1">-SUM(W80:$W$86,AA80:$AA$86)</f>
        <v>4443357.4071525009</v>
      </c>
      <c r="AQ80" s="9">
        <f t="shared" ca="1" si="52"/>
        <v>455.8221936095506</v>
      </c>
      <c r="AR80" s="9">
        <f t="shared" si="53"/>
        <v>81.534131508858991</v>
      </c>
      <c r="AS80" s="9">
        <f t="shared" ca="1" si="54"/>
        <v>2261.9821900194511</v>
      </c>
    </row>
    <row r="81" spans="1:45" outlineLevel="1" x14ac:dyDescent="0.55000000000000004">
      <c r="A81" s="9"/>
      <c r="B81" s="1" t="s">
        <v>9</v>
      </c>
      <c r="C81" s="3">
        <v>4</v>
      </c>
      <c r="D81" s="87">
        <f t="shared" si="66"/>
        <v>0.98039215686274483</v>
      </c>
      <c r="E81" s="4"/>
      <c r="F81" s="111">
        <f t="shared" si="55"/>
        <v>0.8</v>
      </c>
      <c r="G81" s="84">
        <f t="shared" si="67"/>
        <v>0.82294850537622566</v>
      </c>
      <c r="H81" s="153">
        <f t="shared" si="68"/>
        <v>0.78431372549019596</v>
      </c>
      <c r="I81" s="4"/>
      <c r="J81" s="115">
        <f t="shared" si="56"/>
        <v>1</v>
      </c>
      <c r="K81" s="155">
        <f t="shared" si="57"/>
        <v>0.125</v>
      </c>
      <c r="L81" s="154">
        <f t="shared" si="69"/>
        <v>0.82294850537622566</v>
      </c>
      <c r="M81" s="154">
        <f t="shared" si="70"/>
        <v>0.80681226017277008</v>
      </c>
      <c r="N81" s="4"/>
      <c r="O81" s="115">
        <f t="shared" si="58"/>
        <v>1</v>
      </c>
      <c r="P81" s="94">
        <f t="shared" si="59"/>
        <v>0.125</v>
      </c>
      <c r="Q81" s="154">
        <f t="shared" si="71"/>
        <v>0.82294850537622566</v>
      </c>
      <c r="R81" s="154">
        <f t="shared" si="72"/>
        <v>0.80681226017277008</v>
      </c>
      <c r="S81" s="51"/>
      <c r="T81" s="138">
        <f t="shared" si="60"/>
        <v>0.20709640104961757</v>
      </c>
      <c r="U81" s="135">
        <f t="shared" si="73"/>
        <v>0.21390349837580555</v>
      </c>
      <c r="W81" s="63">
        <f t="shared" si="49"/>
        <v>-900000</v>
      </c>
      <c r="X81" s="63">
        <f t="shared" si="74"/>
        <v>545400</v>
      </c>
      <c r="Y81" s="63">
        <f t="shared" si="75"/>
        <v>-135000</v>
      </c>
      <c r="Z81" s="63">
        <v>0</v>
      </c>
      <c r="AA81" s="63">
        <f t="shared" ca="1" si="61"/>
        <v>0</v>
      </c>
      <c r="AB81" s="64">
        <f t="shared" ca="1" si="62"/>
        <v>-489600</v>
      </c>
      <c r="AC81" s="51"/>
      <c r="AD81" s="51">
        <f t="shared" si="50"/>
        <v>-882352.94117647037</v>
      </c>
      <c r="AE81" s="64">
        <f t="shared" si="63"/>
        <v>534705.88235294109</v>
      </c>
      <c r="AF81" s="64">
        <f t="shared" si="63"/>
        <v>-132352.94117647054</v>
      </c>
      <c r="AG81" s="51">
        <f t="shared" si="51"/>
        <v>0</v>
      </c>
      <c r="AH81" s="64">
        <f t="shared" ca="1" si="64"/>
        <v>0</v>
      </c>
      <c r="AI81" s="64">
        <f t="shared" ca="1" si="65"/>
        <v>-479999.99999999983</v>
      </c>
      <c r="AJ81" s="57"/>
      <c r="AK81" s="51">
        <f ca="1">SUM(AD81:AD$85,AG81:AG$85)/D81+SUM(AE82:AF$86,AH82:AH$85)/D81</f>
        <v>-1970550.9125234117</v>
      </c>
      <c r="AL81" s="51">
        <f>SUM(AE82:$AF$86)*$G$14/D81</f>
        <v>44925.559920473672</v>
      </c>
      <c r="AM81" s="51"/>
      <c r="AN81" s="51">
        <f ca="1">-SUM(AD81:$AD$86,AH81:$AH$86)/D81</f>
        <v>3468069.5765392007</v>
      </c>
      <c r="AO81" s="51">
        <f ca="1">-SUM(W81:$W$86,AA81:$AA$86)</f>
        <v>3491723.2700559935</v>
      </c>
      <c r="AQ81" s="9">
        <f t="shared" ca="1" si="52"/>
        <v>458.08440796518698</v>
      </c>
      <c r="AR81" s="9">
        <f t="shared" si="53"/>
        <v>81.938779824413359</v>
      </c>
      <c r="AS81" s="9">
        <f t="shared" ca="1" si="54"/>
        <v>2273.2082528485917</v>
      </c>
    </row>
    <row r="82" spans="1:45" outlineLevel="1" x14ac:dyDescent="0.55000000000000004">
      <c r="A82" s="9"/>
      <c r="B82" s="1" t="s">
        <v>15</v>
      </c>
      <c r="C82" s="3">
        <v>5</v>
      </c>
      <c r="D82" s="87">
        <f t="shared" si="66"/>
        <v>0.97555056615670888</v>
      </c>
      <c r="E82" s="4"/>
      <c r="F82" s="111">
        <f t="shared" si="55"/>
        <v>0.75659328720254071</v>
      </c>
      <c r="G82" s="84">
        <f t="shared" si="67"/>
        <v>0.77829664360127038</v>
      </c>
      <c r="H82" s="153">
        <f t="shared" si="68"/>
        <v>0.73809500968080399</v>
      </c>
      <c r="I82" s="4"/>
      <c r="J82" s="115">
        <f t="shared" si="56"/>
        <v>1</v>
      </c>
      <c r="K82" s="155">
        <f t="shared" si="57"/>
        <v>0.125</v>
      </c>
      <c r="L82" s="154">
        <f t="shared" si="69"/>
        <v>0.77829664360127038</v>
      </c>
      <c r="M82" s="154">
        <f t="shared" si="70"/>
        <v>0.75926773130308556</v>
      </c>
      <c r="N82" s="4"/>
      <c r="O82" s="115">
        <f t="shared" si="58"/>
        <v>1</v>
      </c>
      <c r="P82" s="94">
        <f t="shared" si="59"/>
        <v>0.125</v>
      </c>
      <c r="Q82" s="154">
        <f t="shared" si="71"/>
        <v>0.77829664360127038</v>
      </c>
      <c r="R82" s="154">
        <f t="shared" si="72"/>
        <v>0.75926773130308556</v>
      </c>
      <c r="S82" s="51"/>
      <c r="T82" s="138">
        <f t="shared" si="60"/>
        <v>8.3175297485096111E-2</v>
      </c>
      <c r="U82" s="135">
        <f t="shared" si="73"/>
        <v>8.5909204700509473E-2</v>
      </c>
      <c r="W82" s="63">
        <f t="shared" si="49"/>
        <v>-851167.44810285827</v>
      </c>
      <c r="X82" s="63">
        <f t="shared" si="74"/>
        <v>517092.18455487624</v>
      </c>
      <c r="Y82" s="63">
        <f t="shared" si="75"/>
        <v>-127675.11721542875</v>
      </c>
      <c r="Z82" s="63">
        <v>0</v>
      </c>
      <c r="AA82" s="63">
        <f t="shared" ca="1" si="61"/>
        <v>0</v>
      </c>
      <c r="AB82" s="64">
        <f t="shared" ca="1" si="62"/>
        <v>-461750.38076341077</v>
      </c>
      <c r="AC82" s="51"/>
      <c r="AD82" s="51">
        <f t="shared" si="50"/>
        <v>-830356.88589090446</v>
      </c>
      <c r="AE82" s="64">
        <f t="shared" si="63"/>
        <v>504449.57339771889</v>
      </c>
      <c r="AF82" s="64">
        <f t="shared" si="63"/>
        <v>-124553.53288363568</v>
      </c>
      <c r="AG82" s="51">
        <f t="shared" si="51"/>
        <v>0</v>
      </c>
      <c r="AH82" s="64">
        <f t="shared" ca="1" si="64"/>
        <v>0</v>
      </c>
      <c r="AI82" s="64">
        <f t="shared" ca="1" si="65"/>
        <v>-450460.84537682123</v>
      </c>
      <c r="AJ82" s="57"/>
      <c r="AK82" s="51">
        <f ca="1">SUM(AD82:AD$85,AG82:AG$85)/D82+SUM(AE83:AF$86,AH83:AH$85)/D82</f>
        <v>-1465281.0507873434</v>
      </c>
      <c r="AL82" s="51">
        <f>SUM(AE83:$AF$86)*$G$14/D82</f>
        <v>33466.010380063424</v>
      </c>
      <c r="AM82" s="51"/>
      <c r="AN82" s="51">
        <f ca="1">-SUM(AD82:$AD$86,AH82:$AH$86)/D82</f>
        <v>2580814.7301227911</v>
      </c>
      <c r="AO82" s="51">
        <f ca="1">-SUM(W82:$W$86,AA82:$AA$86)</f>
        <v>2591723.2700559935</v>
      </c>
      <c r="AQ82" s="9">
        <f t="shared" ca="1" si="52"/>
        <v>460.35784953716211</v>
      </c>
      <c r="AR82" s="9">
        <f t="shared" si="53"/>
        <v>82.345436381874606</v>
      </c>
      <c r="AS82" s="9">
        <f t="shared" ca="1" si="54"/>
        <v>2284.4900298588909</v>
      </c>
    </row>
    <row r="83" spans="1:45" outlineLevel="1" x14ac:dyDescent="0.55000000000000004">
      <c r="A83" s="9"/>
      <c r="B83" s="1" t="s">
        <v>16</v>
      </c>
      <c r="C83" s="3">
        <v>6</v>
      </c>
      <c r="D83" s="87">
        <f t="shared" si="66"/>
        <v>0.9707328852712489</v>
      </c>
      <c r="E83" s="4"/>
      <c r="F83" s="111">
        <f t="shared" si="55"/>
        <v>0.71554175279993271</v>
      </c>
      <c r="G83" s="84">
        <f t="shared" si="67"/>
        <v>0.73606752000123676</v>
      </c>
      <c r="H83" s="153">
        <f t="shared" si="68"/>
        <v>0.69459991022752543</v>
      </c>
      <c r="I83" s="4"/>
      <c r="J83" s="115">
        <f t="shared" si="56"/>
        <v>1</v>
      </c>
      <c r="K83" s="155">
        <f t="shared" si="57"/>
        <v>0.125</v>
      </c>
      <c r="L83" s="154">
        <f t="shared" si="69"/>
        <v>0.73606752000123676</v>
      </c>
      <c r="M83" s="154">
        <f t="shared" si="70"/>
        <v>0.7145249474452533</v>
      </c>
      <c r="N83" s="4"/>
      <c r="O83" s="115">
        <f t="shared" si="58"/>
        <v>1</v>
      </c>
      <c r="P83" s="94">
        <f t="shared" si="59"/>
        <v>0.125</v>
      </c>
      <c r="Q83" s="154">
        <f t="shared" si="71"/>
        <v>0.73606752000123676</v>
      </c>
      <c r="R83" s="154">
        <f t="shared" si="72"/>
        <v>0.7145249474452533</v>
      </c>
      <c r="S83" s="51"/>
      <c r="T83" s="138">
        <f t="shared" si="60"/>
        <v>5.1890782453176132E-2</v>
      </c>
      <c r="U83" s="135">
        <f t="shared" si="73"/>
        <v>5.3596392037411206E-2</v>
      </c>
      <c r="W83" s="63">
        <f t="shared" si="49"/>
        <v>-804984.47189992433</v>
      </c>
      <c r="X83" s="63">
        <f t="shared" si="74"/>
        <v>490253.62546339212</v>
      </c>
      <c r="Y83" s="63">
        <f t="shared" si="75"/>
        <v>-120747.67078498864</v>
      </c>
      <c r="Z83" s="63">
        <v>0</v>
      </c>
      <c r="AA83" s="63">
        <f t="shared" ca="1" si="61"/>
        <v>0</v>
      </c>
      <c r="AB83" s="64">
        <f t="shared" ca="1" si="62"/>
        <v>-435478.51722152089</v>
      </c>
      <c r="AC83" s="51"/>
      <c r="AD83" s="51">
        <f t="shared" si="50"/>
        <v>-781424.89900596614</v>
      </c>
      <c r="AE83" s="64">
        <f t="shared" si="63"/>
        <v>475905.31636076886</v>
      </c>
      <c r="AF83" s="64">
        <f t="shared" si="63"/>
        <v>-117213.73485089492</v>
      </c>
      <c r="AG83" s="51">
        <f t="shared" si="51"/>
        <v>0</v>
      </c>
      <c r="AH83" s="64">
        <f t="shared" ca="1" si="64"/>
        <v>0</v>
      </c>
      <c r="AI83" s="64">
        <f t="shared" ca="1" si="65"/>
        <v>-422733.31749609218</v>
      </c>
      <c r="AJ83" s="57"/>
      <c r="AK83" s="51">
        <f ca="1">SUM(AD83:AD$85,AG83:AG$85)/D83+SUM(AE84:AF$86,AH84:AH$85)/D83</f>
        <v>-986667.36115118547</v>
      </c>
      <c r="AL83" s="51">
        <f>SUM(AE84:$AF$86)*$G$14/D83</f>
        <v>22546.921259255705</v>
      </c>
      <c r="AM83" s="51"/>
      <c r="AN83" s="51">
        <f ca="1">-SUM(AD83:$AD$86,AH83:$AH$86)/D83</f>
        <v>1738231.4031263755</v>
      </c>
      <c r="AO83" s="51">
        <f ca="1">-SUM(W83:$W$86,AA83:$AA$86)</f>
        <v>1740555.8219531351</v>
      </c>
      <c r="AQ83" s="9">
        <f t="shared" ca="1" si="52"/>
        <v>462.64257404347882</v>
      </c>
      <c r="AR83" s="9">
        <f t="shared" si="53"/>
        <v>82.754111148005904</v>
      </c>
      <c r="AS83" s="9">
        <f t="shared" ca="1" si="54"/>
        <v>2295.8277975565288</v>
      </c>
    </row>
    <row r="84" spans="1:45" outlineLevel="1" x14ac:dyDescent="0.55000000000000004">
      <c r="A84" s="9"/>
      <c r="B84" s="1" t="s">
        <v>17</v>
      </c>
      <c r="C84" s="3">
        <v>7</v>
      </c>
      <c r="D84" s="87">
        <f t="shared" si="66"/>
        <v>0.96832110791813664</v>
      </c>
      <c r="E84" s="4"/>
      <c r="F84" s="111">
        <f t="shared" si="55"/>
        <v>0.83161897782507621</v>
      </c>
      <c r="G84" s="84">
        <f t="shared" si="67"/>
        <v>0.7735803653125044</v>
      </c>
      <c r="H84" s="153">
        <f t="shared" si="68"/>
        <v>0.8052742099733261</v>
      </c>
      <c r="I84" s="4"/>
      <c r="J84" s="115">
        <f t="shared" si="56"/>
        <v>1</v>
      </c>
      <c r="K84" s="155">
        <f t="shared" si="57"/>
        <v>0.125</v>
      </c>
      <c r="L84" s="154">
        <f t="shared" si="69"/>
        <v>0.7735803653125044</v>
      </c>
      <c r="M84" s="154">
        <f t="shared" si="70"/>
        <v>0.74907419640312112</v>
      </c>
      <c r="N84" s="4"/>
      <c r="O84" s="115">
        <f t="shared" si="58"/>
        <v>1</v>
      </c>
      <c r="P84" s="94">
        <f t="shared" si="59"/>
        <v>0.125</v>
      </c>
      <c r="Q84" s="154">
        <f t="shared" si="71"/>
        <v>0.7735803653125044</v>
      </c>
      <c r="R84" s="154">
        <f t="shared" si="72"/>
        <v>0.74907419640312112</v>
      </c>
      <c r="S84" s="51"/>
      <c r="T84" s="138">
        <f t="shared" si="60"/>
        <v>2.7830892374108518E-2</v>
      </c>
      <c r="U84" s="135">
        <f t="shared" si="73"/>
        <v>2.8745672119700673E-2</v>
      </c>
      <c r="W84" s="63">
        <f t="shared" si="49"/>
        <v>-935571.35005321074</v>
      </c>
      <c r="X84" s="63">
        <f t="shared" si="74"/>
        <v>475412.38832895161</v>
      </c>
      <c r="Y84" s="63">
        <f t="shared" si="75"/>
        <v>-93557.135005321077</v>
      </c>
      <c r="Z84" s="63">
        <v>0</v>
      </c>
      <c r="AA84" s="63">
        <f t="shared" ca="1" si="61"/>
        <v>0</v>
      </c>
      <c r="AB84" s="64">
        <f t="shared" ca="1" si="62"/>
        <v>-553716.0967295802</v>
      </c>
      <c r="AC84" s="51"/>
      <c r="AD84" s="51">
        <f t="shared" si="50"/>
        <v>-905933.48621999181</v>
      </c>
      <c r="AE84" s="64">
        <f t="shared" si="63"/>
        <v>460351.85058469785</v>
      </c>
      <c r="AF84" s="64">
        <f t="shared" si="63"/>
        <v>-90593.34862199919</v>
      </c>
      <c r="AG84" s="51">
        <f t="shared" si="51"/>
        <v>0</v>
      </c>
      <c r="AH84" s="64">
        <f t="shared" ca="1" si="64"/>
        <v>0</v>
      </c>
      <c r="AI84" s="64">
        <f t="shared" ca="1" si="65"/>
        <v>-536174.98425729317</v>
      </c>
      <c r="AJ84" s="57"/>
      <c r="AK84" s="51">
        <f ca="1">SUM(AD84:AD$85,AG84:AG$85)/D84+SUM(AE85:AF$86,AH85:AH$85)/D84</f>
        <v>-563990.65638891584</v>
      </c>
      <c r="AL84" s="51">
        <f>SUM(AE85:$AF$86)*$G$14/D84</f>
        <v>11147.420809928844</v>
      </c>
      <c r="AM84" s="51"/>
      <c r="AN84" s="51">
        <f ca="1">-SUM(AD84:$AD$86,AH84:$AH$86)/D84</f>
        <v>935571.35005321074</v>
      </c>
      <c r="AO84" s="51">
        <f ca="1">-SUM(W84:$W$86,AA84:$AA$86)</f>
        <v>935571.35005321074</v>
      </c>
      <c r="AQ84" s="9">
        <f t="shared" ca="1" si="52"/>
        <v>914.10457083303481</v>
      </c>
      <c r="AR84" s="9">
        <f t="shared" si="53"/>
        <v>27.423137124987988</v>
      </c>
      <c r="AS84" s="9">
        <f t="shared" ca="1" si="54"/>
        <v>0</v>
      </c>
    </row>
    <row r="85" spans="1:45" outlineLevel="1" x14ac:dyDescent="0.55000000000000004">
      <c r="A85" s="9"/>
      <c r="B85" s="1" t="s">
        <v>18</v>
      </c>
      <c r="C85" s="3">
        <v>8</v>
      </c>
      <c r="D85" s="87">
        <f t="shared" si="66"/>
        <v>0.96591532260473922</v>
      </c>
      <c r="E85" s="4"/>
      <c r="F85" s="111">
        <f t="shared" si="55"/>
        <v>0.81</v>
      </c>
      <c r="G85" s="84">
        <f t="shared" si="67"/>
        <v>0.82080948891253813</v>
      </c>
      <c r="H85" s="153">
        <f t="shared" si="68"/>
        <v>0.7823914113098388</v>
      </c>
      <c r="I85" s="4"/>
      <c r="J85" s="115">
        <f t="shared" si="56"/>
        <v>1</v>
      </c>
      <c r="K85" s="155">
        <f t="shared" si="57"/>
        <v>0.125</v>
      </c>
      <c r="L85" s="154">
        <f t="shared" si="69"/>
        <v>0.82080948891253813</v>
      </c>
      <c r="M85" s="154">
        <f t="shared" si="70"/>
        <v>0.79283246227998538</v>
      </c>
      <c r="N85" s="4"/>
      <c r="O85" s="115">
        <f t="shared" si="58"/>
        <v>1</v>
      </c>
      <c r="P85" s="94">
        <f t="shared" si="59"/>
        <v>0.125</v>
      </c>
      <c r="Q85" s="154">
        <f t="shared" si="71"/>
        <v>0.82080948891253813</v>
      </c>
      <c r="R85" s="154">
        <f t="shared" si="72"/>
        <v>0.79283246227998538</v>
      </c>
      <c r="S85" s="51"/>
      <c r="T85" s="138">
        <f t="shared" si="60"/>
        <v>1.5225286106495761E-2</v>
      </c>
      <c r="U85" s="135">
        <f t="shared" si="73"/>
        <v>1.5725729396773625E-2</v>
      </c>
      <c r="W85" s="63">
        <f t="shared" si="49"/>
        <v>0</v>
      </c>
      <c r="X85" s="63">
        <f t="shared" si="74"/>
        <v>463631.18201160559</v>
      </c>
      <c r="Y85" s="63">
        <f t="shared" si="75"/>
        <v>-91125</v>
      </c>
      <c r="Z85" s="63">
        <v>0</v>
      </c>
      <c r="AA85" s="63">
        <f t="shared" ca="1" si="61"/>
        <v>0</v>
      </c>
      <c r="AB85" s="64">
        <f t="shared" ca="1" si="62"/>
        <v>372506.18201160559</v>
      </c>
      <c r="AC85" s="51"/>
      <c r="AD85" s="51">
        <f t="shared" si="50"/>
        <v>0</v>
      </c>
      <c r="AE85" s="64">
        <f t="shared" si="63"/>
        <v>447828.46274235658</v>
      </c>
      <c r="AF85" s="64">
        <f t="shared" si="63"/>
        <v>-88019.033772356866</v>
      </c>
      <c r="AG85" s="51">
        <f t="shared" si="51"/>
        <v>0</v>
      </c>
      <c r="AH85" s="64">
        <f t="shared" ca="1" si="64"/>
        <v>0</v>
      </c>
      <c r="AI85" s="64">
        <f t="shared" ca="1" si="65"/>
        <v>359809.42896999972</v>
      </c>
      <c r="AJ85" s="57"/>
      <c r="AK85" s="51">
        <f ca="1">SUM(AD85:AD$85,AG85:AG$85)/D85+SUM(AE86:AF$86,AH$85:AH86)/D85</f>
        <v>0</v>
      </c>
      <c r="AL85" s="51">
        <f>SUM(AE86:$AF$86)*$G$14/D85</f>
        <v>0</v>
      </c>
      <c r="AM85" s="51"/>
      <c r="AN85" s="51">
        <f ca="1">-SUM(AD85:$AD$86,AH85:$AH$86)/D85</f>
        <v>0</v>
      </c>
      <c r="AO85" s="51">
        <f ca="1">-SUM(W85:$W$86,AA85:$AA$86)</f>
        <v>0</v>
      </c>
      <c r="AQ85" s="9">
        <f t="shared" ca="1" si="52"/>
        <v>0</v>
      </c>
      <c r="AR85" s="9">
        <f t="shared" si="53"/>
        <v>0</v>
      </c>
      <c r="AS85" s="9">
        <f t="shared" ca="1" si="54"/>
        <v>0</v>
      </c>
    </row>
    <row r="86" spans="1:45" outlineLevel="1" x14ac:dyDescent="0.55000000000000004">
      <c r="B86" s="8"/>
      <c r="C86" s="6"/>
      <c r="D86" s="7"/>
      <c r="E86" s="2"/>
      <c r="F86" s="112"/>
      <c r="G86" s="85"/>
      <c r="H86" s="79"/>
      <c r="I86" s="2"/>
      <c r="J86" s="6"/>
      <c r="K86" s="6"/>
      <c r="L86" s="71"/>
      <c r="M86" s="90"/>
      <c r="N86" s="2"/>
      <c r="O86" s="12"/>
      <c r="P86" s="12"/>
      <c r="Q86" s="50"/>
      <c r="R86" s="90"/>
      <c r="S86" s="55"/>
      <c r="T86" s="136"/>
      <c r="U86" s="136"/>
      <c r="W86" s="66"/>
      <c r="X86" s="66"/>
      <c r="Y86" s="66"/>
      <c r="Z86" s="66"/>
      <c r="AA86" s="66"/>
      <c r="AB86" s="66"/>
      <c r="AC86" s="55"/>
      <c r="AD86" s="67"/>
      <c r="AE86" s="68"/>
      <c r="AF86" s="68"/>
      <c r="AG86" s="67"/>
      <c r="AH86" s="67"/>
      <c r="AI86" s="68"/>
      <c r="AJ86" s="57"/>
      <c r="AK86" s="67"/>
      <c r="AL86" s="67"/>
      <c r="AM86" s="51"/>
      <c r="AN86" s="121"/>
      <c r="AO86" s="121"/>
      <c r="AQ86" s="67"/>
      <c r="AR86" s="67"/>
      <c r="AS86" s="67"/>
    </row>
    <row r="87" spans="1:45" outlineLevel="1" x14ac:dyDescent="0.55000000000000004">
      <c r="A87" s="9"/>
      <c r="B87" s="4"/>
      <c r="C87" s="4"/>
      <c r="D87" s="4"/>
      <c r="E87" s="4"/>
      <c r="F87" s="3"/>
      <c r="G87" s="3"/>
      <c r="H87" s="4"/>
      <c r="I87" s="4"/>
      <c r="J87" s="4"/>
      <c r="K87" s="4"/>
      <c r="L87" s="51"/>
      <c r="M87" s="51"/>
      <c r="N87" s="4"/>
      <c r="O87" s="4"/>
      <c r="P87" s="4"/>
      <c r="Q87" s="51"/>
      <c r="R87" s="51"/>
      <c r="S87" s="51"/>
      <c r="T87" s="4"/>
      <c r="U87" s="4"/>
      <c r="W87" s="51"/>
      <c r="X87" s="51"/>
      <c r="Y87" s="51"/>
      <c r="Z87" s="51"/>
      <c r="AA87" s="51"/>
      <c r="AB87" s="51"/>
      <c r="AC87" s="51"/>
      <c r="AD87" s="51"/>
      <c r="AE87" s="51"/>
      <c r="AF87" s="51"/>
      <c r="AG87" s="51"/>
      <c r="AH87" s="51"/>
      <c r="AI87" s="51"/>
      <c r="AJ87" s="57"/>
      <c r="AK87" s="51"/>
      <c r="AL87" s="51"/>
      <c r="AM87" s="51"/>
      <c r="AN87" s="70"/>
      <c r="AO87" s="70"/>
      <c r="AQ87" s="51"/>
      <c r="AR87" s="51"/>
      <c r="AS87" s="51"/>
    </row>
    <row r="88" spans="1:45" outlineLevel="1" x14ac:dyDescent="0.55000000000000004">
      <c r="A88" s="9"/>
      <c r="B88" s="24"/>
      <c r="C88" s="24"/>
      <c r="D88" s="25"/>
      <c r="E88" s="4"/>
      <c r="F88" s="26"/>
      <c r="G88" s="26"/>
      <c r="H88" s="26"/>
      <c r="I88" s="4"/>
      <c r="J88" s="80">
        <f>SUM(J78:J85)</f>
        <v>8</v>
      </c>
      <c r="K88" s="95">
        <f>SUM(K78:K85)</f>
        <v>1</v>
      </c>
      <c r="L88" s="81">
        <f>SUM(L78:L85)</f>
        <v>6.6948198285830927</v>
      </c>
      <c r="M88" s="81">
        <f>SUM(M78:M85)</f>
        <v>6.5589312393224937</v>
      </c>
      <c r="N88" s="4"/>
      <c r="O88" s="80">
        <f>SUM(O78:O85)</f>
        <v>8</v>
      </c>
      <c r="P88" s="95">
        <f>SUM(P78:P85)</f>
        <v>1</v>
      </c>
      <c r="Q88" s="81">
        <f>SUM(Q78:Q85)</f>
        <v>6.6948198285830927</v>
      </c>
      <c r="R88" s="81">
        <f>SUM(R78:R85)</f>
        <v>6.5589312393224937</v>
      </c>
      <c r="S88" s="52"/>
      <c r="T88" s="80">
        <f>SUM(T78:T85)</f>
        <v>0.9681767835595253</v>
      </c>
      <c r="U88" s="95">
        <f>SUM(U78:U85)</f>
        <v>1</v>
      </c>
      <c r="W88" s="52">
        <f t="shared" ref="W88:AB88" si="76">SUM(W77:W85)</f>
        <v>-7638547.3071559789</v>
      </c>
      <c r="X88" s="52">
        <f t="shared" si="76"/>
        <v>4313761.9968796661</v>
      </c>
      <c r="Y88" s="52">
        <f t="shared" si="76"/>
        <v>-1021378.5285707364</v>
      </c>
      <c r="Z88" s="52">
        <f t="shared" si="76"/>
        <v>-900000</v>
      </c>
      <c r="AA88" s="52">
        <f t="shared" ca="1" si="76"/>
        <v>0</v>
      </c>
      <c r="AB88" s="52">
        <f t="shared" ca="1" si="76"/>
        <v>-5246163.8388470495</v>
      </c>
      <c r="AC88" s="51"/>
      <c r="AD88" s="52">
        <f t="shared" ref="AD88:AI88" si="77">SUM(AD77:AD85)</f>
        <v>-7517694.9215678656</v>
      </c>
      <c r="AE88" s="52">
        <f t="shared" si="77"/>
        <v>4227594.7328519169</v>
      </c>
      <c r="AF88" s="52">
        <f t="shared" si="77"/>
        <v>-1001626.5976965369</v>
      </c>
      <c r="AG88" s="52">
        <f t="shared" si="77"/>
        <v>-900000</v>
      </c>
      <c r="AH88" s="52">
        <f t="shared" ca="1" si="77"/>
        <v>0</v>
      </c>
      <c r="AI88" s="52">
        <f t="shared" ca="1" si="77"/>
        <v>-5191726.7864124859</v>
      </c>
      <c r="AJ88" s="52"/>
      <c r="AK88" s="52"/>
      <c r="AL88" s="52"/>
      <c r="AM88" s="51"/>
      <c r="AN88" s="70"/>
      <c r="AO88" s="70"/>
      <c r="AQ88" s="52"/>
      <c r="AR88" s="52"/>
      <c r="AS88" s="52"/>
    </row>
    <row r="89" spans="1:45" ht="15.3" x14ac:dyDescent="0.55000000000000004">
      <c r="A89" s="9"/>
      <c r="B89" s="24"/>
      <c r="C89" s="24"/>
      <c r="D89" s="4"/>
      <c r="E89" s="4"/>
      <c r="F89" s="4"/>
      <c r="G89" s="4"/>
      <c r="H89" s="4"/>
      <c r="I89" s="4"/>
      <c r="J89" s="24"/>
      <c r="K89" s="24"/>
      <c r="L89" s="52"/>
      <c r="M89" s="52"/>
      <c r="N89" s="4"/>
      <c r="O89" s="24"/>
      <c r="P89" s="24"/>
      <c r="Q89" s="52"/>
      <c r="R89" s="52"/>
      <c r="S89" s="51"/>
      <c r="W89" s="52"/>
      <c r="X89" s="72"/>
      <c r="Y89" s="72"/>
      <c r="Z89" s="52"/>
      <c r="AA89" s="52"/>
      <c r="AB89" s="52"/>
      <c r="AC89" s="51"/>
      <c r="AD89" s="52"/>
      <c r="AE89" s="73"/>
      <c r="AF89" s="73"/>
      <c r="AG89" s="52"/>
      <c r="AH89" s="52"/>
      <c r="AI89" s="52"/>
      <c r="AJ89" s="57"/>
      <c r="AK89" s="52"/>
      <c r="AL89" s="52"/>
      <c r="AM89" s="51"/>
      <c r="AN89" s="51"/>
      <c r="AO89" s="51"/>
    </row>
    <row r="90" spans="1:45" ht="15.3" x14ac:dyDescent="0.55000000000000004">
      <c r="A90" s="9"/>
      <c r="B90" s="24"/>
      <c r="C90" s="24"/>
      <c r="D90" s="4"/>
      <c r="E90" s="4"/>
      <c r="F90" s="4"/>
      <c r="G90" s="4"/>
      <c r="H90" s="4"/>
      <c r="I90" s="4"/>
      <c r="J90" s="24"/>
      <c r="K90" s="24"/>
      <c r="L90" s="52"/>
      <c r="M90" s="52"/>
      <c r="N90" s="4"/>
      <c r="O90" s="24"/>
      <c r="P90" s="24"/>
      <c r="Q90" s="52"/>
      <c r="R90" s="52"/>
      <c r="S90" s="51"/>
      <c r="W90" s="52"/>
      <c r="X90" s="72"/>
      <c r="Y90" s="72"/>
      <c r="Z90" s="52"/>
      <c r="AA90" s="52"/>
      <c r="AB90" s="52"/>
      <c r="AC90" s="51"/>
      <c r="AD90" s="52"/>
      <c r="AE90" s="73"/>
      <c r="AF90" s="73"/>
      <c r="AG90" s="52"/>
      <c r="AH90" s="52"/>
      <c r="AI90" s="52"/>
      <c r="AJ90" s="57"/>
      <c r="AK90" s="52"/>
      <c r="AL90" s="52"/>
      <c r="AM90" s="51"/>
      <c r="AN90" s="51"/>
      <c r="AO90" s="51"/>
    </row>
    <row r="91" spans="1:45" ht="18.3" x14ac:dyDescent="0.55000000000000004">
      <c r="A91" s="2"/>
      <c r="B91" s="143" t="s">
        <v>167</v>
      </c>
      <c r="C91" s="107"/>
      <c r="D91" s="108"/>
      <c r="H91" s="105"/>
      <c r="J91" s="2"/>
      <c r="K91" s="2"/>
      <c r="N91" s="2"/>
      <c r="O91" s="2"/>
      <c r="P91" s="2"/>
      <c r="Q91" s="2"/>
      <c r="S91" s="2"/>
      <c r="T91" s="2"/>
      <c r="U91" s="2"/>
      <c r="V91" s="2"/>
      <c r="W91" s="2"/>
      <c r="X91" s="2"/>
      <c r="Y91" s="2"/>
      <c r="Z91" s="2"/>
      <c r="AA91" s="22"/>
      <c r="AB91" s="2"/>
      <c r="AC91" s="2"/>
      <c r="AD91" s="2"/>
      <c r="AE91" s="2"/>
      <c r="AF91" s="2"/>
      <c r="AG91" s="21"/>
      <c r="AH91" s="2"/>
      <c r="AI91" s="2"/>
      <c r="AJ91" s="2"/>
      <c r="AK91" s="2"/>
      <c r="AL91" s="2"/>
    </row>
    <row r="92" spans="1:45" s="2" customFormat="1" outlineLevel="1" x14ac:dyDescent="0.55000000000000004">
      <c r="A92"/>
      <c r="B92"/>
      <c r="C92"/>
      <c r="AL92" s="70"/>
      <c r="AM92" s="70"/>
      <c r="AN92" s="70"/>
    </row>
    <row r="93" spans="1:45" s="2" customFormat="1" ht="19.899999999999999" customHeight="1" outlineLevel="1" x14ac:dyDescent="0.55000000000000004">
      <c r="A93"/>
      <c r="B93" s="185" t="s">
        <v>10</v>
      </c>
      <c r="C93" s="185"/>
      <c r="D93" s="13"/>
      <c r="E93" s="186" t="s">
        <v>140</v>
      </c>
      <c r="F93" s="186"/>
      <c r="G93" s="186"/>
      <c r="H93" s="186"/>
      <c r="I93" s="186"/>
      <c r="J93" s="186"/>
      <c r="K93" s="186"/>
      <c r="L93" s="186"/>
      <c r="M93" s="186"/>
      <c r="O93" s="186" t="s">
        <v>326</v>
      </c>
      <c r="P93" s="186"/>
      <c r="Q93" s="186"/>
      <c r="R93" s="186"/>
      <c r="S93" s="186"/>
      <c r="T93" s="186"/>
      <c r="U93" s="186"/>
      <c r="W93" s="186" t="s">
        <v>141</v>
      </c>
      <c r="X93" s="186"/>
      <c r="Y93" s="186"/>
      <c r="Z93" s="186"/>
      <c r="AA93" s="186"/>
      <c r="AB93" s="186"/>
      <c r="AC93" s="186"/>
      <c r="AD93" s="109"/>
      <c r="AE93" s="182"/>
      <c r="AF93" s="182"/>
      <c r="AG93" s="182"/>
      <c r="AH93" s="182"/>
      <c r="AI93" s="182"/>
      <c r="AJ93" s="182"/>
      <c r="AK93" s="182"/>
      <c r="AM93" s="70"/>
      <c r="AN93" s="70"/>
      <c r="AO93" s="70"/>
    </row>
    <row r="94" spans="1:45" s="2" customFormat="1" ht="30.6" customHeight="1" outlineLevel="1" x14ac:dyDescent="0.55000000000000004">
      <c r="A94"/>
      <c r="B94" s="145" t="s">
        <v>145</v>
      </c>
      <c r="C94" s="145" t="s">
        <v>10</v>
      </c>
      <c r="D94" s="13"/>
      <c r="E94" s="76" t="s">
        <v>11</v>
      </c>
      <c r="F94" s="76" t="s">
        <v>338</v>
      </c>
      <c r="G94" s="76" t="s">
        <v>339</v>
      </c>
      <c r="H94" s="76" t="s">
        <v>13</v>
      </c>
      <c r="I94" s="76" t="s">
        <v>340</v>
      </c>
      <c r="J94" s="76" t="s">
        <v>119</v>
      </c>
      <c r="K94" s="76" t="s">
        <v>341</v>
      </c>
      <c r="L94" s="76" t="s">
        <v>342</v>
      </c>
      <c r="M94" s="76" t="s">
        <v>14</v>
      </c>
      <c r="O94" s="76" t="s">
        <v>11</v>
      </c>
      <c r="P94" s="76" t="s">
        <v>338</v>
      </c>
      <c r="Q94" s="76" t="s">
        <v>13</v>
      </c>
      <c r="R94" s="76" t="s">
        <v>133</v>
      </c>
      <c r="S94" s="76" t="s">
        <v>341</v>
      </c>
      <c r="T94" s="76" t="s">
        <v>342</v>
      </c>
      <c r="U94" s="76" t="s">
        <v>14</v>
      </c>
      <c r="W94" s="76" t="s">
        <v>11</v>
      </c>
      <c r="X94" s="76" t="s">
        <v>338</v>
      </c>
      <c r="Y94" s="76" t="s">
        <v>13</v>
      </c>
      <c r="Z94" s="171" t="s">
        <v>386</v>
      </c>
      <c r="AA94" s="76" t="s">
        <v>341</v>
      </c>
      <c r="AB94" s="76" t="s">
        <v>133</v>
      </c>
      <c r="AC94" s="76" t="s">
        <v>14</v>
      </c>
      <c r="AD94" s="148"/>
      <c r="AE94" s="161"/>
      <c r="AF94" s="161"/>
      <c r="AG94" s="161"/>
      <c r="AH94" s="161"/>
      <c r="AI94" s="161"/>
      <c r="AJ94" s="161"/>
      <c r="AK94" s="161"/>
      <c r="AM94" s="70"/>
      <c r="AN94" s="70"/>
      <c r="AO94" s="70"/>
    </row>
    <row r="95" spans="1:45" s="2" customFormat="1" outlineLevel="1" x14ac:dyDescent="0.55000000000000004">
      <c r="A95" s="19"/>
      <c r="B95" s="15" t="s">
        <v>269</v>
      </c>
      <c r="C95" s="15" t="s">
        <v>270</v>
      </c>
      <c r="D95" s="13"/>
      <c r="E95" s="16" t="s">
        <v>271</v>
      </c>
      <c r="F95" s="16" t="s">
        <v>272</v>
      </c>
      <c r="G95" s="16" t="s">
        <v>273</v>
      </c>
      <c r="H95" s="16" t="s">
        <v>274</v>
      </c>
      <c r="I95" s="16" t="s">
        <v>275</v>
      </c>
      <c r="J95" s="16" t="s">
        <v>276</v>
      </c>
      <c r="K95" s="16" t="s">
        <v>277</v>
      </c>
      <c r="L95" s="16" t="s">
        <v>278</v>
      </c>
      <c r="M95" s="16" t="s">
        <v>279</v>
      </c>
      <c r="O95" s="16" t="s">
        <v>280</v>
      </c>
      <c r="P95" s="16" t="s">
        <v>281</v>
      </c>
      <c r="Q95" s="16" t="s">
        <v>282</v>
      </c>
      <c r="R95" s="16" t="s">
        <v>283</v>
      </c>
      <c r="S95" s="16" t="s">
        <v>284</v>
      </c>
      <c r="T95" s="16" t="s">
        <v>285</v>
      </c>
      <c r="U95" s="16" t="s">
        <v>286</v>
      </c>
      <c r="W95" s="16" t="s">
        <v>287</v>
      </c>
      <c r="X95" s="16" t="s">
        <v>288</v>
      </c>
      <c r="Y95" s="16" t="s">
        <v>289</v>
      </c>
      <c r="Z95" s="16" t="s">
        <v>290</v>
      </c>
      <c r="AA95" s="16" t="s">
        <v>291</v>
      </c>
      <c r="AB95" s="16" t="s">
        <v>292</v>
      </c>
      <c r="AC95" s="16" t="s">
        <v>385</v>
      </c>
      <c r="AD95" s="149"/>
      <c r="AE95" s="149"/>
      <c r="AF95" s="149"/>
      <c r="AG95" s="149"/>
      <c r="AH95" s="149"/>
      <c r="AI95" s="149"/>
      <c r="AJ95" s="149"/>
      <c r="AK95" s="149"/>
      <c r="AM95" s="70"/>
      <c r="AN95" s="70"/>
      <c r="AO95" s="70"/>
    </row>
    <row r="96" spans="1:45" s="2" customFormat="1" outlineLevel="1" x14ac:dyDescent="0.55000000000000004">
      <c r="A96"/>
      <c r="B96" s="1"/>
      <c r="C96" s="3">
        <v>0</v>
      </c>
      <c r="D96" s="13"/>
      <c r="E96" s="63"/>
      <c r="F96" s="63"/>
      <c r="G96" s="63"/>
      <c r="H96" s="63"/>
      <c r="I96" s="63"/>
      <c r="K96" s="63"/>
      <c r="L96" s="63"/>
      <c r="M96" s="63"/>
      <c r="O96" s="63"/>
      <c r="P96" s="63"/>
      <c r="Q96" s="4"/>
      <c r="R96" s="4"/>
      <c r="S96" s="4"/>
      <c r="T96" s="63"/>
      <c r="U96" s="4"/>
      <c r="W96" s="63"/>
      <c r="X96" s="4"/>
      <c r="Y96" s="4"/>
      <c r="Z96" s="4"/>
      <c r="AA96" s="4"/>
      <c r="AB96" s="4"/>
      <c r="AC96" s="4"/>
      <c r="AD96" s="148"/>
      <c r="AE96" s="162"/>
      <c r="AF96" s="163"/>
      <c r="AG96" s="163"/>
      <c r="AH96" s="164"/>
      <c r="AI96" s="163"/>
      <c r="AJ96" s="163"/>
      <c r="AK96" s="163"/>
      <c r="AM96" s="70"/>
      <c r="AN96" s="70"/>
      <c r="AO96" s="70"/>
    </row>
    <row r="97" spans="1:48" s="2" customFormat="1" outlineLevel="1" x14ac:dyDescent="0.55000000000000004">
      <c r="A97" s="9"/>
      <c r="B97" s="1" t="s">
        <v>6</v>
      </c>
      <c r="C97" s="3">
        <v>1</v>
      </c>
      <c r="D97" s="13"/>
      <c r="E97" s="63">
        <f t="shared" ref="E97:E104" si="78">IF(C97=1,0,M96)</f>
        <v>0</v>
      </c>
      <c r="F97" s="63">
        <f t="shared" ref="F97:F104" ca="1" si="79">IF($C97=1,$AK$39,0)</f>
        <v>-5092303.1716076862</v>
      </c>
      <c r="G97" s="63">
        <f t="shared" ref="G97:G104" si="80">IF($C97&lt;=$F$8,-(W39+Z39),-(W77+Z77))</f>
        <v>2025000</v>
      </c>
      <c r="H97" s="63">
        <f t="shared" ref="H97:H104" ca="1" si="81">SUM(E97:G97)*((1+IF($C97&lt;=$F$8,$F$17,$G$17))^(1/4)-1)</f>
        <v>-15222.815754960006</v>
      </c>
      <c r="I97" s="63">
        <f t="shared" ref="I97:I104" si="82">IF($C97&lt;=$F$8,-(X40+Y40),-(X78+Y78))</f>
        <v>-480371.67842486763</v>
      </c>
      <c r="J97" s="63">
        <f t="shared" ref="J97:J104" ca="1" si="83">IF($C97&lt;=$F$8,-(AA40),-(AA78))</f>
        <v>0</v>
      </c>
      <c r="K97" s="63">
        <f t="shared" ref="K97:K104" si="84">IF($C97=$F$8,AQ59,0)</f>
        <v>0</v>
      </c>
      <c r="L97" s="63">
        <f t="shared" ref="L97:L104" si="85">IF($C97=$F$8,AQ78,0)</f>
        <v>0</v>
      </c>
      <c r="M97" s="63">
        <f t="shared" ref="M97:M104" ca="1" si="86">SUM(E97:L97)</f>
        <v>-3562897.6657875138</v>
      </c>
      <c r="N97" s="123"/>
      <c r="O97" s="63">
        <f t="shared" ref="O97:O104" si="87">IF(C97=1,0,U96)</f>
        <v>0</v>
      </c>
      <c r="P97" s="63">
        <f t="shared" ref="P97:P104" si="88">IF($C97=1,$AL$39,0)</f>
        <v>157741.73410979455</v>
      </c>
      <c r="Q97" s="4">
        <f t="shared" ref="Q97:Q104" si="89">SUM(O97:P97)*((1+IF($C97&lt;=$F$8,$F$17,$G$17))^(1/4)-1)</f>
        <v>782.86143262542157</v>
      </c>
      <c r="R97" s="4">
        <f>U97-SUM(S97:T97,O97:Q97)</f>
        <v>-24018.583921243408</v>
      </c>
      <c r="S97" s="4">
        <f t="shared" ref="S97:S104" si="90">IF($C97=$F$8,AR59,0)</f>
        <v>0</v>
      </c>
      <c r="T97" s="63">
        <f t="shared" ref="T97:T104" si="91">IF($C97=$F$8,AR78,0)</f>
        <v>0</v>
      </c>
      <c r="U97" s="4">
        <f t="shared" ref="U97:U104" si="92">IF(C97&lt;$F$8,AL40,AL78)</f>
        <v>134506.01162117656</v>
      </c>
      <c r="V97" s="123"/>
      <c r="W97" s="63">
        <f t="shared" ref="W97:W104" si="93">IF(C97=1,0,AC96)</f>
        <v>0</v>
      </c>
      <c r="X97" s="4">
        <f ca="1">IF($C97=1,-F97-P97,0)</f>
        <v>4934561.4374978915</v>
      </c>
      <c r="Y97" s="4">
        <f ca="1">SUM(W97:X97)*((1+$F$17)^(1/4)-1)</f>
        <v>24489.890758072321</v>
      </c>
      <c r="Z97" s="4">
        <f>IF(AND(C97=$F$8,$F$29="yes"),-(W59-W40),0)</f>
        <v>0</v>
      </c>
      <c r="AA97" s="4">
        <f t="shared" ref="AA97:AA104" si="94">IF($C97=$F$8,-K97-S97,0)</f>
        <v>0</v>
      </c>
      <c r="AB97" s="4">
        <f ca="1">-SUM(W97:AA97)*IFERROR(IF(C97&lt;$F$8,IF($F$23="yes",M40/SUM(M40:$M$48),L40/SUM(L40:$L$48)),IF($F$23="yes",M59/SUM(M59:$M$67),L59/SUM(L59:$L$67))),0)</f>
        <v>-759334.15913787053</v>
      </c>
      <c r="AC97" s="4">
        <f t="shared" ref="AC97:AC104" ca="1" si="95">SUM(W97:AB97)</f>
        <v>4199717.1691180933</v>
      </c>
      <c r="AD97" s="123"/>
      <c r="AE97" s="162"/>
      <c r="AF97" s="163"/>
      <c r="AG97" s="162"/>
      <c r="AH97" s="163"/>
      <c r="AI97" s="163"/>
      <c r="AJ97" s="163"/>
      <c r="AK97" s="163"/>
      <c r="AL97" s="123"/>
      <c r="AM97" s="70"/>
      <c r="AN97" s="70"/>
      <c r="AO97" s="70"/>
      <c r="AQ97" s="124"/>
      <c r="AR97" s="4"/>
      <c r="AT97" s="125"/>
      <c r="AV97" s="4"/>
    </row>
    <row r="98" spans="1:48" s="2" customFormat="1" outlineLevel="1" x14ac:dyDescent="0.55000000000000004">
      <c r="A98" s="9"/>
      <c r="B98" s="1" t="s">
        <v>7</v>
      </c>
      <c r="C98" s="3">
        <v>2</v>
      </c>
      <c r="D98" s="13"/>
      <c r="E98" s="63">
        <f t="shared" ca="1" si="78"/>
        <v>-3562897.6657875138</v>
      </c>
      <c r="F98" s="63">
        <f t="shared" si="79"/>
        <v>0</v>
      </c>
      <c r="G98" s="63">
        <f t="shared" si="80"/>
        <v>1063959.3101285729</v>
      </c>
      <c r="H98" s="63">
        <f t="shared" ca="1" si="81"/>
        <v>-12402.060064789799</v>
      </c>
      <c r="I98" s="63">
        <f t="shared" si="82"/>
        <v>-455814.9479833584</v>
      </c>
      <c r="J98" s="63">
        <f t="shared" ca="1" si="83"/>
        <v>0</v>
      </c>
      <c r="K98" s="63">
        <f t="shared" si="84"/>
        <v>0</v>
      </c>
      <c r="L98" s="63">
        <f t="shared" si="85"/>
        <v>0</v>
      </c>
      <c r="M98" s="63">
        <f t="shared" ca="1" si="86"/>
        <v>-2967155.3637070893</v>
      </c>
      <c r="N98" s="123"/>
      <c r="O98" s="63">
        <f t="shared" si="87"/>
        <v>134506.01162117656</v>
      </c>
      <c r="P98" s="63">
        <f t="shared" si="88"/>
        <v>0</v>
      </c>
      <c r="Q98" s="4">
        <f t="shared" si="89"/>
        <v>667.54413186045724</v>
      </c>
      <c r="R98" s="4">
        <f t="shared" ref="R98:R104" si="96">U98-SUM(S98:T98,O98:Q98)</f>
        <v>-22790.7473991679</v>
      </c>
      <c r="S98" s="4">
        <f t="shared" si="90"/>
        <v>0</v>
      </c>
      <c r="T98" s="63">
        <f t="shared" si="91"/>
        <v>0</v>
      </c>
      <c r="U98" s="4">
        <f t="shared" si="92"/>
        <v>112382.80835386911</v>
      </c>
      <c r="V98" s="123"/>
      <c r="W98" s="63">
        <f t="shared" ca="1" si="93"/>
        <v>4199717.1691180933</v>
      </c>
      <c r="X98" s="4">
        <f t="shared" ref="X98:X104" si="97">IF($C98=1,-F98-P98,0)</f>
        <v>0</v>
      </c>
      <c r="Y98" s="4">
        <f t="shared" ref="Y98:Y104" ca="1" si="98">SUM(W98:X98)*((1+$F$17)^(1/4)-1)</f>
        <v>20842.908937142358</v>
      </c>
      <c r="Z98" s="4">
        <f t="shared" ref="Z98:Z104" si="99">IF(AND(C98=$F$8,$F$29="yes"),-(W60-W41),0)</f>
        <v>0</v>
      </c>
      <c r="AA98" s="4">
        <f t="shared" si="94"/>
        <v>0</v>
      </c>
      <c r="AB98" s="4">
        <f ca="1">-SUM(W98:AA98)*IFERROR(IF(C98&lt;$F$8,IF($F$23="yes",M41/SUM(M41:$M$48),L41/SUM(L41:$L$48)),IF($F$23="yes",M60/SUM(M60:$M$67),L60/SUM(L60:$L$67))),0)</f>
        <v>-718133.90943412331</v>
      </c>
      <c r="AC98" s="4">
        <f t="shared" ca="1" si="95"/>
        <v>3502426.1686211121</v>
      </c>
      <c r="AD98" s="123"/>
      <c r="AE98" s="162"/>
      <c r="AF98" s="163"/>
      <c r="AG98" s="162"/>
      <c r="AH98" s="163"/>
      <c r="AI98" s="163"/>
      <c r="AJ98" s="163"/>
      <c r="AK98" s="163"/>
      <c r="AL98" s="123"/>
      <c r="AM98" s="70"/>
      <c r="AN98" s="70"/>
      <c r="AO98" s="70"/>
      <c r="AP98" s="22"/>
      <c r="AQ98" s="124"/>
      <c r="AR98" s="45"/>
      <c r="AT98" s="125"/>
      <c r="AV98" s="4"/>
    </row>
    <row r="99" spans="1:48" s="2" customFormat="1" outlineLevel="1" x14ac:dyDescent="0.55000000000000004">
      <c r="A99" s="9"/>
      <c r="B99" s="1" t="s">
        <v>8</v>
      </c>
      <c r="C99" s="3">
        <v>3</v>
      </c>
      <c r="D99" s="13"/>
      <c r="E99" s="63">
        <f t="shared" ca="1" si="78"/>
        <v>-2967155.3637070893</v>
      </c>
      <c r="F99" s="63">
        <f t="shared" si="79"/>
        <v>0</v>
      </c>
      <c r="G99" s="63">
        <f t="shared" si="80"/>
        <v>1006230.5898749053</v>
      </c>
      <c r="H99" s="63">
        <f t="shared" ca="1" si="81"/>
        <v>-9731.9354727293085</v>
      </c>
      <c r="I99" s="63">
        <f t="shared" si="82"/>
        <v>-432512.38454761682</v>
      </c>
      <c r="J99" s="63">
        <f t="shared" ca="1" si="83"/>
        <v>0</v>
      </c>
      <c r="K99" s="63">
        <f t="shared" si="84"/>
        <v>0</v>
      </c>
      <c r="L99" s="63">
        <f t="shared" si="85"/>
        <v>0</v>
      </c>
      <c r="M99" s="63">
        <f t="shared" ca="1" si="86"/>
        <v>-2403169.0938525302</v>
      </c>
      <c r="N99" s="123"/>
      <c r="O99" s="63">
        <f t="shared" si="87"/>
        <v>112382.80835386911</v>
      </c>
      <c r="P99" s="63">
        <f t="shared" si="88"/>
        <v>0</v>
      </c>
      <c r="Q99" s="4">
        <f t="shared" si="89"/>
        <v>557.74818786473122</v>
      </c>
      <c r="R99" s="4">
        <f t="shared" si="96"/>
        <v>-21625.61922738087</v>
      </c>
      <c r="S99" s="4">
        <f t="shared" si="90"/>
        <v>0</v>
      </c>
      <c r="T99" s="63">
        <f t="shared" si="91"/>
        <v>0</v>
      </c>
      <c r="U99" s="4">
        <f t="shared" si="92"/>
        <v>91314.937314352981</v>
      </c>
      <c r="V99" s="123"/>
      <c r="W99" s="63">
        <f t="shared" ca="1" si="93"/>
        <v>3502426.1686211121</v>
      </c>
      <c r="X99" s="4">
        <f t="shared" si="97"/>
        <v>0</v>
      </c>
      <c r="Y99" s="4">
        <f t="shared" ca="1" si="98"/>
        <v>17382.301415065009</v>
      </c>
      <c r="Z99" s="4">
        <f t="shared" si="99"/>
        <v>0</v>
      </c>
      <c r="AA99" s="4">
        <f t="shared" si="94"/>
        <v>0</v>
      </c>
      <c r="AB99" s="4">
        <f ca="1">-SUM(W99:AA99)*IFERROR(IF(C99&lt;$F$8,IF($F$23="yes",M42/SUM(M42:$M$48),L42/SUM(L42:$L$48)),IF($F$23="yes",M61/SUM(M61:$M$67),L61/SUM(L61:$L$67))),0)</f>
        <v>-679169.11898796889</v>
      </c>
      <c r="AC99" s="4">
        <f t="shared" ca="1" si="95"/>
        <v>2840639.3510482078</v>
      </c>
      <c r="AD99" s="123"/>
      <c r="AE99" s="162"/>
      <c r="AF99" s="163"/>
      <c r="AG99" s="162"/>
      <c r="AH99" s="163"/>
      <c r="AI99" s="163"/>
      <c r="AJ99" s="163"/>
      <c r="AK99" s="163"/>
      <c r="AL99" s="123"/>
      <c r="AM99" s="70"/>
      <c r="AN99" s="70"/>
      <c r="AO99" s="70"/>
      <c r="AP99" s="22"/>
      <c r="AQ99" s="124"/>
      <c r="AT99" s="125"/>
      <c r="AV99" s="4"/>
    </row>
    <row r="100" spans="1:48" s="2" customFormat="1" outlineLevel="1" x14ac:dyDescent="0.55000000000000004">
      <c r="A100" s="9"/>
      <c r="B100" s="1" t="s">
        <v>9</v>
      </c>
      <c r="C100" s="3">
        <v>4</v>
      </c>
      <c r="D100" s="13"/>
      <c r="E100" s="63">
        <f t="shared" ca="1" si="78"/>
        <v>-2403169.0938525302</v>
      </c>
      <c r="F100" s="63">
        <f t="shared" si="79"/>
        <v>0</v>
      </c>
      <c r="G100" s="63">
        <f t="shared" si="80"/>
        <v>951634.13709650771</v>
      </c>
      <c r="H100" s="63">
        <f t="shared" ca="1" si="81"/>
        <v>-7203.8686664935076</v>
      </c>
      <c r="I100" s="63">
        <f t="shared" si="82"/>
        <v>-410400</v>
      </c>
      <c r="J100" s="63">
        <f t="shared" ca="1" si="83"/>
        <v>0</v>
      </c>
      <c r="K100" s="63">
        <f t="shared" si="84"/>
        <v>0</v>
      </c>
      <c r="L100" s="63">
        <f t="shared" si="85"/>
        <v>0</v>
      </c>
      <c r="M100" s="63">
        <f t="shared" ca="1" si="86"/>
        <v>-1869138.8254225161</v>
      </c>
      <c r="N100" s="123"/>
      <c r="O100" s="63">
        <f t="shared" si="87"/>
        <v>91314.937314352981</v>
      </c>
      <c r="P100" s="63">
        <f t="shared" si="88"/>
        <v>0</v>
      </c>
      <c r="Q100" s="4">
        <f t="shared" si="89"/>
        <v>453.18978550253019</v>
      </c>
      <c r="R100" s="4">
        <f t="shared" si="96"/>
        <v>-20519.999999999985</v>
      </c>
      <c r="S100" s="4">
        <f t="shared" si="90"/>
        <v>0</v>
      </c>
      <c r="T100" s="63">
        <f t="shared" si="91"/>
        <v>0</v>
      </c>
      <c r="U100" s="4">
        <f t="shared" si="92"/>
        <v>71248.127099855526</v>
      </c>
      <c r="V100" s="123"/>
      <c r="W100" s="63">
        <f t="shared" ca="1" si="93"/>
        <v>2840639.3510482078</v>
      </c>
      <c r="X100" s="4">
        <f t="shared" si="97"/>
        <v>0</v>
      </c>
      <c r="Y100" s="4">
        <f t="shared" ca="1" si="98"/>
        <v>14097.898723402364</v>
      </c>
      <c r="Z100" s="4">
        <f t="shared" si="99"/>
        <v>0</v>
      </c>
      <c r="AA100" s="4">
        <f t="shared" si="94"/>
        <v>0</v>
      </c>
      <c r="AB100" s="4">
        <f ca="1">-SUM(W100:AA100)*IFERROR(IF(C100&lt;$F$8,IF($F$23="yes",M43/SUM(M43:$M$48),L43/SUM(L43:$L$48)),IF($F$23="yes",M62/SUM(M62:$M$67),L62/SUM(L62:$L$67))),0)</f>
        <v>-642318.49537695094</v>
      </c>
      <c r="AC100" s="4">
        <f t="shared" ca="1" si="95"/>
        <v>2212418.7543946593</v>
      </c>
      <c r="AD100" s="123"/>
      <c r="AE100" s="162"/>
      <c r="AF100" s="163"/>
      <c r="AG100" s="162"/>
      <c r="AH100" s="163"/>
      <c r="AI100" s="163"/>
      <c r="AJ100" s="163"/>
      <c r="AK100" s="163"/>
      <c r="AL100" s="123"/>
      <c r="AM100" s="70"/>
      <c r="AN100" s="70"/>
      <c r="AO100" s="70"/>
      <c r="AP100" s="22"/>
      <c r="AQ100" s="124"/>
      <c r="AT100" s="125"/>
      <c r="AV100" s="4"/>
    </row>
    <row r="101" spans="1:48" s="55" customFormat="1" outlineLevel="1" x14ac:dyDescent="0.55000000000000004">
      <c r="A101" s="89"/>
      <c r="B101" s="116" t="s">
        <v>15</v>
      </c>
      <c r="C101" s="117">
        <v>5</v>
      </c>
      <c r="D101" s="118"/>
      <c r="E101" s="63">
        <f t="shared" ca="1" si="78"/>
        <v>-1869138.8254225161</v>
      </c>
      <c r="F101" s="63">
        <f t="shared" si="79"/>
        <v>0</v>
      </c>
      <c r="G101" s="63">
        <f t="shared" si="80"/>
        <v>900000</v>
      </c>
      <c r="H101" s="63">
        <f t="shared" ca="1" si="81"/>
        <v>-4809.769675507072</v>
      </c>
      <c r="I101" s="63">
        <f t="shared" si="82"/>
        <v>-389417.0673394475</v>
      </c>
      <c r="J101" s="63">
        <f t="shared" ca="1" si="83"/>
        <v>0</v>
      </c>
      <c r="K101" s="63">
        <f t="shared" si="84"/>
        <v>0</v>
      </c>
      <c r="L101" s="63">
        <f t="shared" si="85"/>
        <v>0</v>
      </c>
      <c r="M101" s="63">
        <f t="shared" ca="1" si="86"/>
        <v>-1363365.6624374706</v>
      </c>
      <c r="N101" s="123"/>
      <c r="O101" s="63">
        <f t="shared" si="87"/>
        <v>71248.127099855526</v>
      </c>
      <c r="P101" s="63">
        <f t="shared" si="88"/>
        <v>0</v>
      </c>
      <c r="Q101" s="51">
        <f t="shared" si="89"/>
        <v>353.59957951551183</v>
      </c>
      <c r="R101" s="51">
        <f t="shared" si="96"/>
        <v>-19470.853366972384</v>
      </c>
      <c r="S101" s="51">
        <f t="shared" si="90"/>
        <v>0</v>
      </c>
      <c r="T101" s="63">
        <f t="shared" si="91"/>
        <v>0</v>
      </c>
      <c r="U101" s="51">
        <f t="shared" si="92"/>
        <v>52130.87331239866</v>
      </c>
      <c r="V101" s="123"/>
      <c r="W101" s="63">
        <f t="shared" ca="1" si="93"/>
        <v>2212418.7543946593</v>
      </c>
      <c r="X101" s="4">
        <f t="shared" si="97"/>
        <v>0</v>
      </c>
      <c r="Y101" s="51">
        <f t="shared" ca="1" si="98"/>
        <v>10980.082889333526</v>
      </c>
      <c r="Z101" s="4">
        <f t="shared" si="99"/>
        <v>0</v>
      </c>
      <c r="AA101" s="4">
        <f t="shared" si="94"/>
        <v>0</v>
      </c>
      <c r="AB101" s="51">
        <f ca="1">-SUM(W101:AA101)*IFERROR(IF(C101&lt;$F$8,IF($F$23="yes",M44/SUM(M44:$M$48),L44/SUM(L44:$L$48)),IF($F$23="yes",M63/SUM(M63:$M$67),L63/SUM(L63:$L$67))),0)</f>
        <v>-607467.32731029647</v>
      </c>
      <c r="AC101" s="51">
        <f t="shared" ca="1" si="95"/>
        <v>1615931.5099736962</v>
      </c>
      <c r="AD101" s="123"/>
      <c r="AE101" s="162"/>
      <c r="AF101" s="165"/>
      <c r="AG101" s="162"/>
      <c r="AH101" s="163"/>
      <c r="AI101" s="165"/>
      <c r="AJ101" s="165"/>
      <c r="AK101" s="165"/>
      <c r="AL101" s="123"/>
      <c r="AM101" s="70"/>
      <c r="AN101" s="70"/>
      <c r="AO101" s="70"/>
      <c r="AP101" s="22"/>
      <c r="AQ101" s="124"/>
      <c r="AT101" s="125"/>
      <c r="AU101" s="2"/>
      <c r="AV101" s="4"/>
    </row>
    <row r="102" spans="1:48" s="2" customFormat="1" outlineLevel="1" x14ac:dyDescent="0.55000000000000004">
      <c r="A102" s="9"/>
      <c r="B102" s="1" t="s">
        <v>16</v>
      </c>
      <c r="C102" s="3">
        <v>6</v>
      </c>
      <c r="D102" s="13"/>
      <c r="E102" s="63">
        <f t="shared" ca="1" si="78"/>
        <v>-1363365.6624374706</v>
      </c>
      <c r="F102" s="63">
        <f t="shared" si="79"/>
        <v>0</v>
      </c>
      <c r="G102" s="63">
        <f t="shared" si="80"/>
        <v>851167.44810285827</v>
      </c>
      <c r="H102" s="63">
        <f t="shared" ca="1" si="81"/>
        <v>-2542.004689659866</v>
      </c>
      <c r="I102" s="63">
        <f t="shared" si="82"/>
        <v>-369505.95467840345</v>
      </c>
      <c r="J102" s="63">
        <f t="shared" ca="1" si="83"/>
        <v>0</v>
      </c>
      <c r="K102" s="63">
        <f t="shared" si="84"/>
        <v>0</v>
      </c>
      <c r="L102" s="63">
        <f t="shared" si="85"/>
        <v>0</v>
      </c>
      <c r="M102" s="63">
        <f t="shared" ca="1" si="86"/>
        <v>-884246.17370267562</v>
      </c>
      <c r="N102" s="123"/>
      <c r="O102" s="63">
        <f t="shared" si="87"/>
        <v>52130.87331239866</v>
      </c>
      <c r="P102" s="63">
        <f t="shared" si="88"/>
        <v>0</v>
      </c>
      <c r="Q102" s="4">
        <f t="shared" si="89"/>
        <v>258.72195710079177</v>
      </c>
      <c r="R102" s="4">
        <f>U102-SUM(S102:T102,O102:Q102)</f>
        <v>-18475.297733920175</v>
      </c>
      <c r="S102" s="4">
        <f t="shared" si="90"/>
        <v>0</v>
      </c>
      <c r="T102" s="63">
        <f t="shared" si="91"/>
        <v>0</v>
      </c>
      <c r="U102" s="4">
        <f t="shared" si="92"/>
        <v>33914.297535579273</v>
      </c>
      <c r="V102" s="123"/>
      <c r="W102" s="63">
        <f t="shared" ca="1" si="93"/>
        <v>1615931.5099736962</v>
      </c>
      <c r="X102" s="4">
        <f t="shared" si="97"/>
        <v>0</v>
      </c>
      <c r="Y102" s="4">
        <f t="shared" ca="1" si="98"/>
        <v>8019.7575109833824</v>
      </c>
      <c r="Z102" s="4">
        <f t="shared" si="99"/>
        <v>0</v>
      </c>
      <c r="AA102" s="4">
        <f t="shared" si="94"/>
        <v>0</v>
      </c>
      <c r="AB102" s="4">
        <f ca="1">-SUM(W102:AA102)*IFERROR(IF(C102&lt;$F$8,IF($F$23="yes",M45/SUM(M45:$M$48),L45/SUM(L45:$L$48)),IF($F$23="yes",M64/SUM(M64:$M$67),L64/SUM(L64:$L$67))),0)</f>
        <v>-574507.12754729879</v>
      </c>
      <c r="AC102" s="4">
        <f t="shared" ca="1" si="95"/>
        <v>1049444.1399373808</v>
      </c>
      <c r="AD102" s="123"/>
      <c r="AE102" s="162"/>
      <c r="AF102" s="163"/>
      <c r="AG102" s="162"/>
      <c r="AH102" s="163"/>
      <c r="AI102" s="163"/>
      <c r="AJ102" s="163"/>
      <c r="AK102" s="163"/>
      <c r="AL102" s="123"/>
      <c r="AM102" s="70"/>
      <c r="AN102" s="70"/>
      <c r="AO102" s="70"/>
      <c r="AP102" s="22"/>
      <c r="AQ102" s="124"/>
      <c r="AT102" s="125"/>
      <c r="AV102" s="4"/>
    </row>
    <row r="103" spans="1:48" s="2" customFormat="1" outlineLevel="1" x14ac:dyDescent="0.55000000000000004">
      <c r="A103" s="9"/>
      <c r="B103" s="1" t="s">
        <v>17</v>
      </c>
      <c r="C103" s="3">
        <v>7</v>
      </c>
      <c r="D103" s="13"/>
      <c r="E103" s="63">
        <f t="shared" ca="1" si="78"/>
        <v>-884246.17370267562</v>
      </c>
      <c r="F103" s="63">
        <f t="shared" si="79"/>
        <v>0</v>
      </c>
      <c r="G103" s="63">
        <f t="shared" si="80"/>
        <v>804984.47189992433</v>
      </c>
      <c r="H103" s="63">
        <f t="shared" ca="1" si="81"/>
        <v>-393.3704024227406</v>
      </c>
      <c r="I103" s="63">
        <f t="shared" si="82"/>
        <v>-350611.96767899027</v>
      </c>
      <c r="J103" s="63">
        <f t="shared" ca="1" si="83"/>
        <v>0</v>
      </c>
      <c r="K103" s="63">
        <f t="shared" ca="1" si="84"/>
        <v>-134637.72107558494</v>
      </c>
      <c r="L103" s="63">
        <f t="shared" ca="1" si="85"/>
        <v>914.10457083303481</v>
      </c>
      <c r="M103" s="63">
        <f t="shared" ca="1" si="86"/>
        <v>-563990.65638891619</v>
      </c>
      <c r="N103" s="123"/>
      <c r="O103" s="63">
        <f t="shared" si="87"/>
        <v>33914.297535579273</v>
      </c>
      <c r="P103" s="63">
        <f t="shared" si="88"/>
        <v>0</v>
      </c>
      <c r="Q103" s="4">
        <f t="shared" si="89"/>
        <v>168.31433802235492</v>
      </c>
      <c r="R103" s="4">
        <f t="shared" si="96"/>
        <v>-17530.598383949513</v>
      </c>
      <c r="S103" s="4">
        <f t="shared" si="90"/>
        <v>-5432.0158168482594</v>
      </c>
      <c r="T103" s="63">
        <f t="shared" si="91"/>
        <v>27.423137124987988</v>
      </c>
      <c r="U103" s="4">
        <f t="shared" si="92"/>
        <v>11147.420809928844</v>
      </c>
      <c r="V103" s="123"/>
      <c r="W103" s="63">
        <f t="shared" ca="1" si="93"/>
        <v>1049444.1399373808</v>
      </c>
      <c r="X103" s="4">
        <f t="shared" si="97"/>
        <v>0</v>
      </c>
      <c r="Y103" s="4">
        <f t="shared" ca="1" si="98"/>
        <v>5208.3194564089563</v>
      </c>
      <c r="Z103" s="4">
        <f t="shared" si="99"/>
        <v>174264.04037600453</v>
      </c>
      <c r="AA103" s="4">
        <f t="shared" ca="1" si="94"/>
        <v>140069.7368924332</v>
      </c>
      <c r="AB103" s="4">
        <f ca="1">-SUM(W103:AA103)*IFERROR(IF(C103&lt;$F$8,IF($F$23="yes",M46/SUM(M46:$M$48),L46/SUM(L46:$L$48)),IF($F$23="yes",M65/SUM(M65:$M$67),L65/SUM(L65:$L$67))),0)</f>
        <v>-665909.99630880088</v>
      </c>
      <c r="AC103" s="4">
        <f t="shared" ca="1" si="95"/>
        <v>703076.24035342655</v>
      </c>
      <c r="AD103" s="123"/>
      <c r="AE103" s="162"/>
      <c r="AF103" s="163"/>
      <c r="AG103" s="162"/>
      <c r="AH103" s="163"/>
      <c r="AI103" s="163"/>
      <c r="AJ103" s="163"/>
      <c r="AK103" s="163"/>
      <c r="AL103" s="123"/>
      <c r="AM103" s="70"/>
      <c r="AN103" s="70"/>
      <c r="AO103" s="70"/>
      <c r="AP103" s="22"/>
      <c r="AQ103" s="124"/>
      <c r="AT103" s="125"/>
      <c r="AV103" s="4"/>
    </row>
    <row r="104" spans="1:48" s="2" customFormat="1" outlineLevel="1" x14ac:dyDescent="0.55000000000000004">
      <c r="A104" s="9"/>
      <c r="B104" s="1" t="s">
        <v>18</v>
      </c>
      <c r="C104" s="3">
        <v>8</v>
      </c>
      <c r="D104" s="13"/>
      <c r="E104" s="63">
        <f t="shared" ca="1" si="78"/>
        <v>-563990.65638891619</v>
      </c>
      <c r="F104" s="63">
        <f t="shared" si="79"/>
        <v>0</v>
      </c>
      <c r="G104" s="63">
        <f t="shared" si="80"/>
        <v>935571.35005321074</v>
      </c>
      <c r="H104" s="63">
        <f t="shared" ca="1" si="81"/>
        <v>925.48834731075146</v>
      </c>
      <c r="I104" s="63">
        <f t="shared" si="82"/>
        <v>-372506.18201160559</v>
      </c>
      <c r="J104" s="63">
        <f t="shared" ca="1" si="83"/>
        <v>0</v>
      </c>
      <c r="K104" s="63">
        <f t="shared" si="84"/>
        <v>0</v>
      </c>
      <c r="L104" s="63">
        <f t="shared" si="85"/>
        <v>0</v>
      </c>
      <c r="M104" s="63">
        <f t="shared" ca="1" si="86"/>
        <v>-2.9103830456733704E-10</v>
      </c>
      <c r="N104" s="123"/>
      <c r="O104" s="63">
        <f t="shared" si="87"/>
        <v>11147.420809928844</v>
      </c>
      <c r="P104" s="63">
        <f t="shared" si="88"/>
        <v>0</v>
      </c>
      <c r="Q104" s="4">
        <f t="shared" si="89"/>
        <v>27.76465041932256</v>
      </c>
      <c r="R104" s="4">
        <f t="shared" si="96"/>
        <v>-11175.185460348166</v>
      </c>
      <c r="S104" s="4">
        <f t="shared" si="90"/>
        <v>0</v>
      </c>
      <c r="T104" s="63">
        <f t="shared" si="91"/>
        <v>0</v>
      </c>
      <c r="U104" s="4">
        <f t="shared" si="92"/>
        <v>0</v>
      </c>
      <c r="V104" s="123"/>
      <c r="W104" s="63">
        <f t="shared" ca="1" si="93"/>
        <v>703076.24035342655</v>
      </c>
      <c r="X104" s="4">
        <f t="shared" si="97"/>
        <v>0</v>
      </c>
      <c r="Y104" s="4">
        <f t="shared" ca="1" si="98"/>
        <v>3489.3192716194594</v>
      </c>
      <c r="Z104" s="4">
        <f t="shared" si="99"/>
        <v>0</v>
      </c>
      <c r="AA104" s="4">
        <f t="shared" si="94"/>
        <v>0</v>
      </c>
      <c r="AB104" s="4">
        <f ca="1">-SUM(W104:AA104)*IFERROR(IF(C104&lt;$F$8,IF($F$23="yes",M47/SUM(M47:$M$48),L47/SUM(L47:$L$48)),IF($F$23="yes",M66/SUM(M66:$M$67),L66/SUM(L66:$L$67))),0)</f>
        <v>-706565.55962504598</v>
      </c>
      <c r="AC104" s="4">
        <f t="shared" ca="1" si="95"/>
        <v>0</v>
      </c>
      <c r="AD104" s="123"/>
      <c r="AE104" s="162"/>
      <c r="AF104" s="163"/>
      <c r="AG104" s="162"/>
      <c r="AH104" s="163"/>
      <c r="AI104" s="163"/>
      <c r="AJ104" s="163"/>
      <c r="AK104" s="163"/>
      <c r="AL104" s="123"/>
      <c r="AM104" s="70"/>
      <c r="AN104" s="70"/>
      <c r="AO104" s="70"/>
      <c r="AP104" s="22"/>
      <c r="AQ104" s="124"/>
      <c r="AT104" s="125"/>
      <c r="AV104" s="4"/>
    </row>
    <row r="105" spans="1:48" s="2" customFormat="1" outlineLevel="1" x14ac:dyDescent="0.55000000000000004">
      <c r="A105"/>
      <c r="B105" s="8"/>
      <c r="C105" s="6"/>
      <c r="D105" s="13"/>
      <c r="E105" s="7"/>
      <c r="F105" s="7"/>
      <c r="G105" s="7"/>
      <c r="H105" s="7"/>
      <c r="I105" s="7"/>
      <c r="J105" s="7"/>
      <c r="K105" s="7"/>
      <c r="L105" s="7"/>
      <c r="M105" s="7"/>
      <c r="O105" s="7"/>
      <c r="P105" s="7"/>
      <c r="Q105" s="7"/>
      <c r="R105" s="7"/>
      <c r="S105" s="7"/>
      <c r="T105" s="7"/>
      <c r="U105" s="7"/>
      <c r="W105" s="7"/>
      <c r="X105" s="7"/>
      <c r="Y105" s="7"/>
      <c r="Z105" s="7"/>
      <c r="AA105" s="7"/>
      <c r="AB105" s="7"/>
      <c r="AC105" s="7"/>
      <c r="AE105" s="166"/>
      <c r="AF105" s="166"/>
      <c r="AG105" s="166"/>
      <c r="AH105" s="166"/>
      <c r="AI105" s="166"/>
      <c r="AJ105" s="166"/>
      <c r="AK105" s="166"/>
      <c r="AM105" s="70"/>
      <c r="AN105" s="70"/>
      <c r="AO105" s="70"/>
    </row>
    <row r="106" spans="1:48" s="2" customFormat="1" outlineLevel="1" x14ac:dyDescent="0.55000000000000004">
      <c r="A106" s="9"/>
      <c r="B106" s="4"/>
      <c r="C106" s="4"/>
      <c r="D106" s="13"/>
      <c r="AE106" s="164"/>
      <c r="AF106" s="164"/>
      <c r="AG106" s="164"/>
      <c r="AH106" s="164"/>
      <c r="AI106" s="164"/>
      <c r="AJ106" s="164"/>
      <c r="AK106" s="164"/>
      <c r="AM106" s="70"/>
      <c r="AN106" s="70"/>
      <c r="AO106" s="70"/>
    </row>
    <row r="107" spans="1:48" s="2" customFormat="1" outlineLevel="1" x14ac:dyDescent="0.55000000000000004">
      <c r="A107" s="9"/>
      <c r="B107" s="24"/>
      <c r="C107" s="24"/>
      <c r="D107" s="13"/>
      <c r="F107" s="52">
        <f t="shared" ref="F107:L107" ca="1" si="100">SUM(F96:F104)</f>
        <v>-5092303.1716076862</v>
      </c>
      <c r="G107" s="52">
        <f t="shared" si="100"/>
        <v>8538547.3071559779</v>
      </c>
      <c r="H107" s="52">
        <f t="shared" ca="1" si="100"/>
        <v>-51380.336379251545</v>
      </c>
      <c r="I107" s="52">
        <f t="shared" si="100"/>
        <v>-3261140.1826642896</v>
      </c>
      <c r="J107" s="52">
        <f t="shared" ca="1" si="100"/>
        <v>0</v>
      </c>
      <c r="K107" s="52">
        <f t="shared" ca="1" si="100"/>
        <v>-134637.72107558494</v>
      </c>
      <c r="L107" s="52">
        <f t="shared" ca="1" si="100"/>
        <v>914.10457083303481</v>
      </c>
      <c r="P107" s="52">
        <f>SUM(P96:P104)</f>
        <v>157741.73410979455</v>
      </c>
      <c r="Q107" s="52">
        <f>SUM(Q96:Q104)</f>
        <v>3269.7440629111215</v>
      </c>
      <c r="R107" s="52">
        <f>SUM(R96:R104)</f>
        <v>-155606.8854929824</v>
      </c>
      <c r="S107" s="52">
        <f>SUM(S96:S104)</f>
        <v>-5432.0158168482594</v>
      </c>
      <c r="T107" s="52">
        <f>SUM(T96:T104)</f>
        <v>27.423137124987988</v>
      </c>
      <c r="X107" s="52">
        <f ca="1">SUM(X96:X104)</f>
        <v>4934561.4374978915</v>
      </c>
      <c r="Y107" s="52">
        <f ca="1">SUM(Y96:Y104)</f>
        <v>104510.47896202738</v>
      </c>
      <c r="Z107" s="52">
        <f>SUM(Z96:Z104)</f>
        <v>174264.04037600453</v>
      </c>
      <c r="AA107" s="52">
        <f ca="1">SUM(AA96:AA104)</f>
        <v>140069.7368924332</v>
      </c>
      <c r="AB107" s="52">
        <f ca="1">SUM(AB96:AB104)</f>
        <v>-5353405.6937283557</v>
      </c>
      <c r="AE107" s="164"/>
      <c r="AF107" s="167"/>
      <c r="AG107" s="167"/>
      <c r="AH107" s="167"/>
      <c r="AI107" s="167"/>
      <c r="AJ107" s="167"/>
      <c r="AK107" s="164"/>
      <c r="AM107" s="70"/>
      <c r="AN107" s="70"/>
      <c r="AO107" s="70"/>
    </row>
    <row r="108" spans="1:48" s="2" customFormat="1" x14ac:dyDescent="0.55000000000000004">
      <c r="A108" s="9"/>
      <c r="B108" s="24"/>
      <c r="C108" s="24"/>
      <c r="D108" s="4"/>
      <c r="E108" s="4"/>
      <c r="AD108" s="164"/>
      <c r="AE108" s="164"/>
      <c r="AF108" s="164"/>
      <c r="AG108" s="164"/>
      <c r="AH108" s="164"/>
      <c r="AI108" s="164"/>
      <c r="AJ108" s="164"/>
      <c r="AL108" s="70"/>
      <c r="AM108" s="70"/>
      <c r="AN108" s="70"/>
    </row>
    <row r="109" spans="1:48" s="2" customFormat="1" x14ac:dyDescent="0.55000000000000004">
      <c r="A109" s="9"/>
      <c r="B109" s="24"/>
      <c r="C109" s="24"/>
      <c r="D109" s="4"/>
      <c r="E109" s="4"/>
      <c r="AL109" s="70"/>
      <c r="AM109" s="70"/>
      <c r="AN109" s="70"/>
    </row>
    <row r="110" spans="1:48" s="70" customFormat="1" ht="18.3" x14ac:dyDescent="0.55000000000000004">
      <c r="B110" s="144" t="s">
        <v>168</v>
      </c>
      <c r="AG110" s="75"/>
      <c r="AK110" s="55"/>
    </row>
    <row r="111" spans="1:48" s="70" customFormat="1" outlineLevel="1" x14ac:dyDescent="0.55000000000000004">
      <c r="B111" s="55"/>
      <c r="C111" s="55"/>
      <c r="D111" s="55"/>
      <c r="E111" s="55"/>
      <c r="F111" s="55"/>
      <c r="G111" s="55"/>
      <c r="H111" s="55"/>
      <c r="I111" s="55"/>
      <c r="J111" s="55"/>
      <c r="K111" s="55"/>
      <c r="L111" s="55"/>
      <c r="M111" s="55"/>
      <c r="N111" s="55"/>
      <c r="O111" s="55"/>
      <c r="P111" s="55"/>
      <c r="Q111" s="55"/>
      <c r="R111" s="55"/>
      <c r="S111" s="55"/>
      <c r="T111" s="55"/>
      <c r="U111" s="55"/>
      <c r="V111" s="55"/>
      <c r="AG111" s="75"/>
    </row>
    <row r="112" spans="1:48" s="70" customFormat="1" outlineLevel="1" x14ac:dyDescent="0.55000000000000004">
      <c r="B112" s="183" t="s">
        <v>10</v>
      </c>
      <c r="C112" s="183"/>
      <c r="E112" s="183" t="s">
        <v>123</v>
      </c>
      <c r="F112" s="183"/>
      <c r="G112" s="183"/>
      <c r="H112" s="183"/>
      <c r="I112" s="183"/>
      <c r="J112" s="183"/>
      <c r="L112" s="183" t="s">
        <v>378</v>
      </c>
      <c r="M112" s="183"/>
      <c r="N112" s="183"/>
      <c r="O112" s="183"/>
      <c r="P112" s="183"/>
      <c r="R112" s="183" t="s">
        <v>462</v>
      </c>
      <c r="S112" s="183"/>
      <c r="T112" s="183"/>
      <c r="U112" s="183"/>
      <c r="V112" s="183"/>
      <c r="W112" s="183"/>
      <c r="X112" s="183"/>
      <c r="Y112" s="183"/>
      <c r="Z112" s="170"/>
      <c r="AA112" s="152" t="s">
        <v>142</v>
      </c>
      <c r="AC112" s="184" t="s">
        <v>5</v>
      </c>
      <c r="AD112" s="184"/>
      <c r="AF112" s="75"/>
    </row>
    <row r="113" spans="2:32" s="70" customFormat="1" ht="25.8" outlineLevel="1" x14ac:dyDescent="0.55000000000000004">
      <c r="B113" s="146" t="s">
        <v>145</v>
      </c>
      <c r="C113" s="146" t="s">
        <v>10</v>
      </c>
      <c r="E113" s="54" t="s">
        <v>11</v>
      </c>
      <c r="F113" s="54" t="s">
        <v>13</v>
      </c>
      <c r="G113" s="54" t="s">
        <v>381</v>
      </c>
      <c r="H113" s="54" t="s">
        <v>337</v>
      </c>
      <c r="I113" s="54" t="s">
        <v>382</v>
      </c>
      <c r="J113" s="54" t="s">
        <v>14</v>
      </c>
      <c r="L113" s="54" t="s">
        <v>11</v>
      </c>
      <c r="M113" s="54" t="s">
        <v>152</v>
      </c>
      <c r="N113" s="54" t="s">
        <v>13</v>
      </c>
      <c r="O113" s="54" t="s">
        <v>133</v>
      </c>
      <c r="P113" s="54" t="s">
        <v>14</v>
      </c>
      <c r="Q113" s="51"/>
      <c r="R113" s="54" t="s">
        <v>11</v>
      </c>
      <c r="S113" s="54" t="s">
        <v>37</v>
      </c>
      <c r="T113" s="54" t="s">
        <v>40</v>
      </c>
      <c r="U113" s="59" t="s">
        <v>13</v>
      </c>
      <c r="V113" s="56" t="s">
        <v>383</v>
      </c>
      <c r="W113" s="54" t="s">
        <v>384</v>
      </c>
      <c r="X113" s="54" t="s">
        <v>119</v>
      </c>
      <c r="Y113" s="54" t="s">
        <v>14</v>
      </c>
      <c r="Z113" s="168"/>
      <c r="AA113" s="76" t="s">
        <v>14</v>
      </c>
      <c r="AC113" s="160" t="s">
        <v>146</v>
      </c>
      <c r="AD113" s="160" t="s">
        <v>147</v>
      </c>
      <c r="AF113" s="75"/>
    </row>
    <row r="114" spans="2:32" s="70" customFormat="1" outlineLevel="1" x14ac:dyDescent="0.55000000000000004">
      <c r="B114" s="119" t="s">
        <v>298</v>
      </c>
      <c r="C114" s="119" t="s">
        <v>299</v>
      </c>
      <c r="E114" s="147" t="s">
        <v>300</v>
      </c>
      <c r="F114" s="147" t="s">
        <v>301</v>
      </c>
      <c r="G114" s="147" t="s">
        <v>302</v>
      </c>
      <c r="H114" s="147" t="s">
        <v>303</v>
      </c>
      <c r="I114" s="147" t="s">
        <v>304</v>
      </c>
      <c r="J114" s="147" t="s">
        <v>305</v>
      </c>
      <c r="L114" s="60" t="s">
        <v>306</v>
      </c>
      <c r="M114" s="60" t="s">
        <v>307</v>
      </c>
      <c r="N114" s="60" t="s">
        <v>308</v>
      </c>
      <c r="O114" s="60" t="s">
        <v>309</v>
      </c>
      <c r="P114" s="60" t="s">
        <v>310</v>
      </c>
      <c r="Q114" s="61"/>
      <c r="R114" s="60" t="s">
        <v>311</v>
      </c>
      <c r="S114" s="60" t="s">
        <v>312</v>
      </c>
      <c r="T114" s="60" t="s">
        <v>313</v>
      </c>
      <c r="U114" s="60" t="s">
        <v>314</v>
      </c>
      <c r="V114" s="60" t="s">
        <v>315</v>
      </c>
      <c r="W114" s="60" t="s">
        <v>316</v>
      </c>
      <c r="X114" s="60" t="s">
        <v>317</v>
      </c>
      <c r="Y114" s="60" t="s">
        <v>318</v>
      </c>
      <c r="Z114" s="169"/>
      <c r="AA114" s="60" t="s">
        <v>319</v>
      </c>
      <c r="AC114" s="60" t="s">
        <v>320</v>
      </c>
      <c r="AD114" s="60" t="s">
        <v>321</v>
      </c>
      <c r="AF114" s="75"/>
    </row>
    <row r="115" spans="2:32" s="70" customFormat="1" outlineLevel="1" x14ac:dyDescent="0.55000000000000004">
      <c r="B115" s="116"/>
      <c r="C115" s="117">
        <v>0</v>
      </c>
      <c r="L115" s="55"/>
      <c r="N115" s="55"/>
      <c r="O115" s="55"/>
      <c r="P115" s="55"/>
      <c r="Q115" s="55"/>
      <c r="R115" s="51"/>
      <c r="S115" s="51"/>
      <c r="T115" s="51"/>
      <c r="U115" s="64"/>
      <c r="V115" s="51"/>
      <c r="W115" s="51"/>
      <c r="X115" s="51"/>
      <c r="Y115" s="51"/>
      <c r="Z115" s="165"/>
      <c r="AA115" s="51"/>
      <c r="AC115" s="51"/>
      <c r="AD115" s="65"/>
      <c r="AF115" s="75"/>
    </row>
    <row r="116" spans="2:32" s="70" customFormat="1" outlineLevel="1" x14ac:dyDescent="0.55000000000000004">
      <c r="B116" s="116" t="s">
        <v>6</v>
      </c>
      <c r="C116" s="117">
        <v>1</v>
      </c>
      <c r="E116" s="51">
        <f>IF(C116=1,Z39,J115)*(1-(F26="immediate"))</f>
        <v>-900000</v>
      </c>
      <c r="F116" s="51">
        <f>IF($F$27="yes",E116*((1+$F$17)^(1/4)-1),0)</f>
        <v>-4466.6384158834389</v>
      </c>
      <c r="G116" s="51">
        <f>-(E116+F116)*($F$26="time")*IFERROR(IF($F$27="yes",D40/SUM(D40:$D$47),1/COUNT(D40:$D$47)),0)</f>
        <v>0</v>
      </c>
      <c r="H116" s="51">
        <f>-(E116+F116)*($F$26="policies IF")*IFERROR(IF(C116&lt;$F$8,IF($F$27="yes",H40/SUM(H40:$H$47),F40/SUM(F40:$F$47)),IF($F$27="yes",H59/SUM(H59:$H$66),F59/SUM(F59:$F$66))),0)</f>
        <v>0</v>
      </c>
      <c r="I116" s="51">
        <f>-(E116+F116)*($F$26="risk")*IFERROR(IF(C116&lt;$F$8,IF($F$27="yes",R40/SUM(R40:$R$47),Q40/SUM(Q40:$Q$47)),IF($F$27="yes",R59/SUM(R59:$R$66),Q59/SUM(Q59:$Q$66))),0)</f>
        <v>138492.7013028755</v>
      </c>
      <c r="J116" s="51">
        <f t="shared" ref="J116:J123" si="101">SUM(E116:I116)</f>
        <v>-765973.93711300788</v>
      </c>
      <c r="K116" s="123"/>
      <c r="L116" s="51">
        <f ca="1">IF(C116=1,IF(F27="yes",-AD50-AH50,-W50-AA50),P115)</f>
        <v>7347137.8538035769</v>
      </c>
      <c r="M116" s="51">
        <f>IF(C116=$F$8,AS58,0)</f>
        <v>0</v>
      </c>
      <c r="N116" s="51">
        <f ca="1">IF($F$27="yes",(L116+M116)*((1+$F$17)^(1/4)-1),0)</f>
        <v>36463.342427322736</v>
      </c>
      <c r="O116" s="51">
        <f ca="1">-(L116+M116+N116)*IFERROR(IF(C116&lt;$F$8,IF($F$24="yes",R40/SUM(R40:$R$48),Q40/SUM(Q40:$Q$48)),IF($F$24="yes",R59/SUM(R59:$R$66),Q59/SUM(Q59:$Q$66))),0)</f>
        <v>-1112839.7796380972</v>
      </c>
      <c r="P116" s="51">
        <f t="shared" ref="P116:P123" ca="1" si="102">SUM(L116:O116)</f>
        <v>6270761.4165928029</v>
      </c>
      <c r="Q116" s="123"/>
      <c r="R116" s="51">
        <f t="shared" ref="R116:R123" si="103">IF(C116=1,0,Y115)</f>
        <v>0</v>
      </c>
      <c r="S116" s="51">
        <f t="shared" ref="S116:S123" si="104">IF($C97&lt;=$F$8,-W39,-W77)</f>
        <v>1125000</v>
      </c>
      <c r="T116" s="51">
        <f>E116</f>
        <v>-900000</v>
      </c>
      <c r="U116" s="51">
        <f t="shared" ref="U116:U123" si="105">IF($F$27="yes",(R116+S116+T116)*((1+$F$17)^(1/4)-1),0)</f>
        <v>1116.6596039708597</v>
      </c>
      <c r="V116" s="51">
        <f>-SUM(G116:I116)</f>
        <v>-138492.7013028755</v>
      </c>
      <c r="W116" s="51">
        <f ca="1">O116</f>
        <v>-1112839.7796380972</v>
      </c>
      <c r="X116" s="51">
        <f ca="1">IF($C97&lt;$F$8,-AA40,-AA78)</f>
        <v>0</v>
      </c>
      <c r="Y116" s="51">
        <f t="shared" ref="Y116:Y122" ca="1" si="106">SUM(R116:X116)</f>
        <v>-1025215.8213370019</v>
      </c>
      <c r="Z116" s="165"/>
      <c r="AA116" s="51">
        <f t="shared" ref="AA116:AA123" ca="1" si="107">ROUND(M97+U97+AC97,2)</f>
        <v>771325.51</v>
      </c>
      <c r="AC116" s="51">
        <f t="shared" ref="AC116:AC123" ca="1" si="108">ABS(Y116-AA116)</f>
        <v>1796541.3313370019</v>
      </c>
      <c r="AD116" s="93">
        <f t="shared" ref="AD116:AD123" ca="1" si="109">IFERROR(AC116/ABS(AA116),0)</f>
        <v>2.329161045557798</v>
      </c>
      <c r="AF116" s="75"/>
    </row>
    <row r="117" spans="2:32" s="70" customFormat="1" outlineLevel="1" x14ac:dyDescent="0.55000000000000004">
      <c r="B117" s="116" t="s">
        <v>7</v>
      </c>
      <c r="C117" s="117">
        <v>2</v>
      </c>
      <c r="E117" s="51">
        <f t="shared" ref="E117:E123" si="110">IF(C117=1,Z40,J116)</f>
        <v>-765973.93711300788</v>
      </c>
      <c r="F117" s="51">
        <f t="shared" ref="F117:F123" si="111">IF($F$27="yes",E117*((1+$F$17)^(1/4)-1),0)</f>
        <v>-3801.4762367493854</v>
      </c>
      <c r="G117" s="51">
        <f>-(E117+F117)*($F$26="time")*IFERROR(IF($F$27="yes",D41/SUM(D41:$D$47),1/COUNT(D41:$D$47)),0)</f>
        <v>0</v>
      </c>
      <c r="H117" s="51">
        <f>-(E117+F117)*($F$26="policies IF")*IFERROR(IF(C117&lt;$F$8,IF($F$27="yes",H41/SUM(H41:$H$47),F41/SUM(F41:$F$47)),IF($F$27="yes",H60/SUM(H60:$H$66),F60/SUM(F60:$F$66))),0)</f>
        <v>0</v>
      </c>
      <c r="I117" s="51">
        <f>-(E117+F117)*($F$26="risk")*IFERROR(IF(C117&lt;$F$8,IF($F$27="yes",R41/SUM(R41:$R$47),Q41/SUM(Q41:$Q$47)),IF($F$27="yes",R60/SUM(R60:$R$66),Q60/SUM(Q60:$Q$66))),0)</f>
        <v>130978.31016537773</v>
      </c>
      <c r="J117" s="51">
        <f t="shared" si="101"/>
        <v>-638797.10318437964</v>
      </c>
      <c r="K117" s="123"/>
      <c r="L117" s="51">
        <f ca="1">IF(C117=1,IF(F28="yes",-AD51-AH51,-W51-AA51),P116)</f>
        <v>6270761.4165928029</v>
      </c>
      <c r="M117" s="51">
        <f t="shared" ref="M117:M123" si="112">IF(C117=$F$8,AS59,0)</f>
        <v>0</v>
      </c>
      <c r="N117" s="51">
        <f t="shared" ref="N117:N123" ca="1" si="113">IF($F$27="yes",(L117+M117)*((1+$F$17)^(1/4)-1),0)</f>
        <v>31121.359822436745</v>
      </c>
      <c r="O117" s="51">
        <f ca="1">-(L117+M117+N117)*IFERROR(IF(C117&lt;$F$8,IF($F$24="yes",R41/SUM(R41:$R$48),Q41/SUM(Q41:$Q$48)),IF($F$24="yes",R60/SUM(R60:$R$66),Q60/SUM(Q60:$Q$66))),0)</f>
        <v>-1057682.1651813735</v>
      </c>
      <c r="P117" s="51">
        <f t="shared" ca="1" si="102"/>
        <v>5244200.6112338668</v>
      </c>
      <c r="Q117" s="123"/>
      <c r="R117" s="51">
        <f t="shared" ca="1" si="103"/>
        <v>-1025215.8213370019</v>
      </c>
      <c r="S117" s="51">
        <f t="shared" si="104"/>
        <v>1063959.3101285729</v>
      </c>
      <c r="T117" s="51">
        <f t="shared" ref="T117:T123" si="114">-Z40</f>
        <v>0</v>
      </c>
      <c r="U117" s="51">
        <f t="shared" ca="1" si="105"/>
        <v>192.28128377975608</v>
      </c>
      <c r="V117" s="51">
        <f t="shared" ref="V117:V123" si="115">-SUM(G117:I117)</f>
        <v>-130978.31016537773</v>
      </c>
      <c r="W117" s="51">
        <f t="shared" ref="W117:W123" ca="1" si="116">O117</f>
        <v>-1057682.1651813735</v>
      </c>
      <c r="X117" s="51">
        <f t="shared" ref="X117:X123" ca="1" si="117">IF($C98&lt;$F$8,-AA41,-AA79)</f>
        <v>0</v>
      </c>
      <c r="Y117" s="51">
        <f t="shared" ca="1" si="106"/>
        <v>-1149724.7052714005</v>
      </c>
      <c r="Z117" s="165"/>
      <c r="AA117" s="51">
        <f t="shared" ca="1" si="107"/>
        <v>647653.61</v>
      </c>
      <c r="AC117" s="51">
        <f t="shared" ca="1" si="108"/>
        <v>1797378.3152714004</v>
      </c>
      <c r="AD117" s="93">
        <f t="shared" ca="1" si="109"/>
        <v>2.7752154662913102</v>
      </c>
      <c r="AF117" s="75"/>
    </row>
    <row r="118" spans="2:32" s="70" customFormat="1" outlineLevel="1" x14ac:dyDescent="0.55000000000000004">
      <c r="B118" s="116" t="s">
        <v>8</v>
      </c>
      <c r="C118" s="117">
        <v>3</v>
      </c>
      <c r="E118" s="51">
        <f t="shared" si="110"/>
        <v>-638797.10318437964</v>
      </c>
      <c r="F118" s="51">
        <f t="shared" si="111"/>
        <v>-3170.3063122648973</v>
      </c>
      <c r="G118" s="51">
        <f>-(E118+F118)*($F$26="time")*IFERROR(IF($F$27="yes",D42/SUM(D42:$D$47),1/COUNT(D42:$D$47)),0)</f>
        <v>0</v>
      </c>
      <c r="H118" s="51">
        <f>-(E118+F118)*($F$26="policies IF")*IFERROR(IF(C118&lt;$F$8,IF($F$27="yes",H42/SUM(H42:$H$47),F42/SUM(F42:$F$47)),IF($F$27="yes",H61/SUM(H61:$H$66),F61/SUM(F61:$F$66))),0)</f>
        <v>0</v>
      </c>
      <c r="I118" s="51">
        <f>-(E118+F118)*($F$26="risk")*IFERROR(IF(C118&lt;$F$8,IF($F$27="yes",R42/SUM(R42:$R$47),Q42/SUM(Q42:$Q$47)),IF($F$27="yes",R61/SUM(R61:$R$66),Q61/SUM(Q61:$Q$66))),0)</f>
        <v>123871.63780032139</v>
      </c>
      <c r="J118" s="51">
        <f t="shared" si="101"/>
        <v>-518095.77169632312</v>
      </c>
      <c r="K118" s="123"/>
      <c r="L118" s="51">
        <f ca="1">IF(C118=1,IF(F30="yes",-AD53-AH53,-W53-AA53),P117)</f>
        <v>5244200.6112338668</v>
      </c>
      <c r="M118" s="51">
        <f t="shared" si="112"/>
        <v>0</v>
      </c>
      <c r="N118" s="51">
        <f t="shared" ca="1" si="113"/>
        <v>26026.608789707338</v>
      </c>
      <c r="O118" s="51">
        <f ca="1">-(L118+M118+N118)*IFERROR(IF(C118&lt;$F$8,IF($F$24="yes",R42/SUM(R42:$R$48),Q42/SUM(Q42:$Q$48)),IF($F$24="yes",R61/SUM(R61:$R$66),Q61/SUM(Q61:$Q$66))),0)</f>
        <v>-1005258.4235500316</v>
      </c>
      <c r="P118" s="51">
        <f t="shared" ca="1" si="102"/>
        <v>4264968.7964735422</v>
      </c>
      <c r="Q118" s="123"/>
      <c r="R118" s="51">
        <f t="shared" ca="1" si="103"/>
        <v>-1149724.7052714005</v>
      </c>
      <c r="S118" s="51">
        <f t="shared" si="104"/>
        <v>1006230.5898749053</v>
      </c>
      <c r="T118" s="51">
        <f t="shared" si="114"/>
        <v>0</v>
      </c>
      <c r="U118" s="51">
        <f t="shared" ca="1" si="105"/>
        <v>-712.15147587021863</v>
      </c>
      <c r="V118" s="51">
        <f t="shared" si="115"/>
        <v>-123871.63780032139</v>
      </c>
      <c r="W118" s="51">
        <f t="shared" ca="1" si="116"/>
        <v>-1005258.4235500316</v>
      </c>
      <c r="X118" s="51">
        <f t="shared" ca="1" si="117"/>
        <v>0</v>
      </c>
      <c r="Y118" s="51">
        <f t="shared" ca="1" si="106"/>
        <v>-1273336.3282227186</v>
      </c>
      <c r="Z118" s="165"/>
      <c r="AA118" s="51">
        <f t="shared" ca="1" si="107"/>
        <v>528785.18999999994</v>
      </c>
      <c r="AC118" s="51">
        <f t="shared" ca="1" si="108"/>
        <v>1802121.5182227185</v>
      </c>
      <c r="AD118" s="93">
        <f t="shared" ca="1" si="109"/>
        <v>3.4080408307629013</v>
      </c>
      <c r="AF118" s="75"/>
    </row>
    <row r="119" spans="2:32" s="70" customFormat="1" outlineLevel="1" x14ac:dyDescent="0.55000000000000004">
      <c r="B119" s="116" t="s">
        <v>9</v>
      </c>
      <c r="C119" s="117">
        <v>4</v>
      </c>
      <c r="E119" s="51">
        <f t="shared" si="110"/>
        <v>-518095.77169632312</v>
      </c>
      <c r="F119" s="51">
        <f t="shared" si="111"/>
        <v>-2571.2738632950809</v>
      </c>
      <c r="G119" s="51">
        <f>-(E119+F119)*($F$26="time")*IFERROR(IF($F$27="yes",D43/SUM(D43:$D$47),1/COUNT(D43:$D$47)),0)</f>
        <v>0</v>
      </c>
      <c r="H119" s="51">
        <f>-(E119+F119)*($F$26="policies IF")*IFERROR(IF(C119&lt;$F$8,IF($F$27="yes",H43/SUM(H43:$H$47),F43/SUM(F43:$F$47)),IF($F$27="yes",H62/SUM(H62:$H$66),F62/SUM(F62:$F$66))),0)</f>
        <v>0</v>
      </c>
      <c r="I119" s="51">
        <f>-(E119+F119)*($F$26="risk")*IFERROR(IF(C119&lt;$F$8,IF($F$27="yes",R43/SUM(R43:$R$47),Q43/SUM(Q43:$Q$47)),IF($F$27="yes",R62/SUM(R62:$R$66),Q62/SUM(Q62:$Q$66))),0)</f>
        <v>117150.56204313456</v>
      </c>
      <c r="J119" s="51">
        <f t="shared" si="101"/>
        <v>-403516.48351648368</v>
      </c>
      <c r="K119" s="123"/>
      <c r="L119" s="51">
        <f ca="1">IF(C119=1,IF(F31="yes",-AD54-AH54,-W54-AA54),P118)</f>
        <v>4264968.7964735422</v>
      </c>
      <c r="M119" s="51">
        <f t="shared" si="112"/>
        <v>0</v>
      </c>
      <c r="N119" s="51">
        <f t="shared" ca="1" si="113"/>
        <v>21166.748298747647</v>
      </c>
      <c r="O119" s="51">
        <f ca="1">-(L119+M119+N119)*IFERROR(IF(C119&lt;$F$8,IF($F$24="yes",R43/SUM(R43:$R$48),Q43/SUM(Q43:$Q$48)),IF($F$24="yes",R62/SUM(R62:$R$66),Q62/SUM(Q62:$Q$66))),0)</f>
        <v>-955433.05104800023</v>
      </c>
      <c r="P119" s="51">
        <f t="shared" ca="1" si="102"/>
        <v>3330702.4937242894</v>
      </c>
      <c r="Q119" s="123"/>
      <c r="R119" s="51">
        <f t="shared" ca="1" si="103"/>
        <v>-1273336.3282227186</v>
      </c>
      <c r="S119" s="51">
        <f t="shared" si="104"/>
        <v>951634.13709650771</v>
      </c>
      <c r="T119" s="51">
        <f t="shared" si="114"/>
        <v>0</v>
      </c>
      <c r="U119" s="51">
        <f t="shared" ca="1" si="105"/>
        <v>-1596.5859615091222</v>
      </c>
      <c r="V119" s="51">
        <f t="shared" si="115"/>
        <v>-117150.56204313456</v>
      </c>
      <c r="W119" s="51">
        <f t="shared" ca="1" si="116"/>
        <v>-955433.05104800023</v>
      </c>
      <c r="X119" s="51">
        <f t="shared" ca="1" si="117"/>
        <v>0</v>
      </c>
      <c r="Y119" s="51">
        <f t="shared" ca="1" si="106"/>
        <v>-1395882.3901788548</v>
      </c>
      <c r="Z119" s="165"/>
      <c r="AA119" s="51">
        <f t="shared" ca="1" si="107"/>
        <v>414528.06</v>
      </c>
      <c r="AC119" s="51">
        <f t="shared" ca="1" si="108"/>
        <v>1810410.4501788549</v>
      </c>
      <c r="AD119" s="93">
        <f t="shared" ca="1" si="109"/>
        <v>4.3674014496843832</v>
      </c>
      <c r="AF119" s="75"/>
    </row>
    <row r="120" spans="2:32" s="70" customFormat="1" outlineLevel="1" x14ac:dyDescent="0.55000000000000004">
      <c r="B120" s="116" t="s">
        <v>15</v>
      </c>
      <c r="C120" s="117">
        <v>5</v>
      </c>
      <c r="E120" s="51">
        <f t="shared" si="110"/>
        <v>-403516.48351648368</v>
      </c>
      <c r="F120" s="51">
        <f t="shared" si="111"/>
        <v>-2002.6246963521362</v>
      </c>
      <c r="G120" s="51">
        <f>-(E120+F120)*($F$26="time")*IFERROR(IF($F$27="yes",D44/SUM(D44:$D$47),1/COUNT(D44:$D$47)),0)</f>
        <v>0</v>
      </c>
      <c r="H120" s="51">
        <f>-(E120+F120)*($F$26="policies IF")*IFERROR(IF(C120&lt;$F$8,IF($F$27="yes",H44/SUM(H44:$H$47),F44/SUM(F44:$F$47)),IF($F$27="yes",H63/SUM(H63:$H$66),F63/SUM(F63:$F$66))),0)</f>
        <v>0</v>
      </c>
      <c r="I120" s="51">
        <f>-(E120+F120)*($F$26="risk")*IFERROR(IF(C120&lt;$F$8,IF($F$27="yes",R44/SUM(R44:$R$47),Q44/SUM(Q44:$Q$47)),IF($F$27="yes",R63/SUM(R63:$R$66),Q63/SUM(Q63:$Q$66))),0)</f>
        <v>110794.16104230046</v>
      </c>
      <c r="J120" s="51">
        <f t="shared" si="101"/>
        <v>-294724.94717053534</v>
      </c>
      <c r="K120" s="123"/>
      <c r="L120" s="51">
        <f ca="1">IF(C120=1,IF(F34="yes",-AD55-AH55,-W55-AA55),P119)</f>
        <v>3330702.4937242894</v>
      </c>
      <c r="M120" s="51">
        <f t="shared" si="112"/>
        <v>0</v>
      </c>
      <c r="N120" s="51">
        <f t="shared" ca="1" si="113"/>
        <v>16530.048567052978</v>
      </c>
      <c r="O120" s="51">
        <f ca="1">-(L120+M120+N120)*IFERROR(IF(C120&lt;$F$8,IF($F$24="yes",R44/SUM(R44:$R$48),Q44/SUM(Q44:$Q$48)),IF($F$24="yes",R63/SUM(R63:$R$66),Q63/SUM(Q63:$Q$66))),0)</f>
        <v>-908077.26018468733</v>
      </c>
      <c r="P120" s="51">
        <f t="shared" ca="1" si="102"/>
        <v>2439155.2821066547</v>
      </c>
      <c r="Q120" s="123"/>
      <c r="R120" s="51">
        <f t="shared" ca="1" si="103"/>
        <v>-1395882.3901788548</v>
      </c>
      <c r="S120" s="51">
        <f t="shared" si="104"/>
        <v>900000</v>
      </c>
      <c r="T120" s="51">
        <f t="shared" si="114"/>
        <v>0</v>
      </c>
      <c r="U120" s="51">
        <f t="shared" ca="1" si="105"/>
        <v>-2461.0303708144152</v>
      </c>
      <c r="V120" s="51">
        <f t="shared" si="115"/>
        <v>-110794.16104230046</v>
      </c>
      <c r="W120" s="51">
        <f t="shared" ca="1" si="116"/>
        <v>-908077.26018468733</v>
      </c>
      <c r="X120" s="51">
        <f t="shared" ca="1" si="117"/>
        <v>0</v>
      </c>
      <c r="Y120" s="51">
        <f t="shared" ca="1" si="106"/>
        <v>-1517214.8417766569</v>
      </c>
      <c r="Z120" s="165"/>
      <c r="AA120" s="51">
        <f t="shared" ca="1" si="107"/>
        <v>304696.71999999997</v>
      </c>
      <c r="AC120" s="51">
        <f t="shared" ca="1" si="108"/>
        <v>1821911.5617766569</v>
      </c>
      <c r="AD120" s="93">
        <f t="shared" ca="1" si="109"/>
        <v>5.9794262366088384</v>
      </c>
      <c r="AF120" s="75"/>
    </row>
    <row r="121" spans="2:32" s="70" customFormat="1" outlineLevel="1" x14ac:dyDescent="0.55000000000000004">
      <c r="B121" s="116" t="s">
        <v>16</v>
      </c>
      <c r="C121" s="117">
        <v>6</v>
      </c>
      <c r="E121" s="51">
        <f t="shared" si="110"/>
        <v>-294724.94717053534</v>
      </c>
      <c r="F121" s="51">
        <f t="shared" si="111"/>
        <v>-1462.6997457234781</v>
      </c>
      <c r="G121" s="51">
        <f>-(E121+F121)*($F$26="time")*IFERROR(IF($F$27="yes",D45/SUM(D45:$D$47),1/COUNT(D45:$D$47)),0)</f>
        <v>0</v>
      </c>
      <c r="H121" s="51">
        <f>-(E121+F121)*($F$26="policies IF")*IFERROR(IF(C121&lt;$F$8,IF($F$27="yes",H45/SUM(H45:$H$47),F45/SUM(F45:$F$47)),IF($F$27="yes",H64/SUM(H64:$H$66),F64/SUM(F64:$F$66))),0)</f>
        <v>0</v>
      </c>
      <c r="I121" s="51">
        <f>-(E121+F121)*($F$26="risk")*IFERROR(IF(C121&lt;$F$8,IF($F$27="yes",R45/SUM(R45:$R$47),Q45/SUM(Q45:$Q$47)),IF($F$27="yes",R64/SUM(R64:$R$66),Q64/SUM(Q64:$Q$66))),0)</f>
        <v>104782.64813230223</v>
      </c>
      <c r="J121" s="51">
        <f t="shared" si="101"/>
        <v>-191404.99878395657</v>
      </c>
      <c r="K121" s="123"/>
      <c r="L121" s="51">
        <f ca="1">IF(C121=1,IF(F35="yes",-AD56-AH56,-W56-AA56),P120)</f>
        <v>2439155.2821066547</v>
      </c>
      <c r="M121" s="51">
        <f t="shared" si="112"/>
        <v>0</v>
      </c>
      <c r="N121" s="51">
        <f t="shared" ca="1" si="113"/>
        <v>12105.360761513992</v>
      </c>
      <c r="O121" s="51">
        <f ca="1">-(L121+M121+N121)*IFERROR(IF(C121&lt;$F$8,IF($F$24="yes",R45/SUM(R45:$R$48),Q45/SUM(Q45:$Q$48)),IF($F$24="yes",R64/SUM(R64:$R$66),Q64/SUM(Q64:$Q$66))),0)</f>
        <v>-863068.64678800094</v>
      </c>
      <c r="P121" s="51">
        <f t="shared" ca="1" si="102"/>
        <v>1588191.9960801676</v>
      </c>
      <c r="Q121" s="123"/>
      <c r="R121" s="51">
        <f t="shared" ca="1" si="103"/>
        <v>-1517214.8417766569</v>
      </c>
      <c r="S121" s="51">
        <f t="shared" si="104"/>
        <v>851167.44810285827</v>
      </c>
      <c r="T121" s="51">
        <f t="shared" si="114"/>
        <v>0</v>
      </c>
      <c r="U121" s="51">
        <f t="shared" ca="1" si="105"/>
        <v>-3305.5476393138106</v>
      </c>
      <c r="V121" s="51">
        <f t="shared" si="115"/>
        <v>-104782.64813230223</v>
      </c>
      <c r="W121" s="51">
        <f t="shared" ca="1" si="116"/>
        <v>-863068.64678800094</v>
      </c>
      <c r="X121" s="51">
        <f t="shared" ca="1" si="117"/>
        <v>0</v>
      </c>
      <c r="Y121" s="51">
        <f t="shared" ca="1" si="106"/>
        <v>-1637204.2362334155</v>
      </c>
      <c r="Z121" s="165"/>
      <c r="AA121" s="51">
        <f t="shared" ca="1" si="107"/>
        <v>199112.26</v>
      </c>
      <c r="AC121" s="51">
        <f t="shared" ca="1" si="108"/>
        <v>1836316.4962334156</v>
      </c>
      <c r="AD121" s="93">
        <f t="shared" ca="1" si="109"/>
        <v>9.222518473917253</v>
      </c>
      <c r="AF121" s="75"/>
    </row>
    <row r="122" spans="2:32" s="70" customFormat="1" outlineLevel="1" x14ac:dyDescent="0.55000000000000004">
      <c r="B122" s="116" t="s">
        <v>17</v>
      </c>
      <c r="C122" s="117">
        <v>7</v>
      </c>
      <c r="E122" s="51">
        <f t="shared" si="110"/>
        <v>-191404.99878395657</v>
      </c>
      <c r="F122" s="51">
        <f t="shared" si="111"/>
        <v>-949.92991173393716</v>
      </c>
      <c r="G122" s="51">
        <f>-(E122+F122)*($F$26="time")*IFERROR(IF($F$27="yes",D46/SUM(D46:$D$47),1/COUNT(D46:$D$47)),0)</f>
        <v>0</v>
      </c>
      <c r="H122" s="51">
        <f>-(E122+F122)*($F$26="policies IF")*IFERROR(IF(C122&lt;$F$8,IF($F$27="yes",H46/SUM(H46:$H$47),F46/SUM(F46:$F$47)),IF($F$27="yes",H65/SUM(H65:$H$66),F65/SUM(F65:$F$66))),0)</f>
        <v>0</v>
      </c>
      <c r="I122" s="51">
        <f>-(E122+F122)*($F$26="risk")*IFERROR(IF(C122&lt;$F$8,IF($F$27="yes",R46/SUM(R46:$R$47),Q46/SUM(Q46:$Q$47)),IF($F$27="yes",R65/SUM(R65:$R$66),Q65/SUM(Q65:$Q$66))),0)</f>
        <v>93566.36789134577</v>
      </c>
      <c r="J122" s="51">
        <f t="shared" si="101"/>
        <v>-98788.560804344728</v>
      </c>
      <c r="K122" s="123"/>
      <c r="L122" s="51">
        <f ca="1">IF(C122=1,IF(F36="yes",-AD57-AH57,-W57-AA57),P121)</f>
        <v>1588191.9960801676</v>
      </c>
      <c r="M122" s="51">
        <f t="shared" ca="1" si="112"/>
        <v>173403.45091455826</v>
      </c>
      <c r="N122" s="51">
        <f t="shared" ca="1" si="113"/>
        <v>8742.677663102224</v>
      </c>
      <c r="O122" s="51">
        <f ca="1">-(L122+M122+N122)*IFERROR(IF(C122&lt;$F$8,IF($F$24="yes",R46/SUM(R46:$R$48),Q46/SUM(Q46:$Q$48)),IF($F$24="yes",R65/SUM(R65:$R$66),Q65/SUM(Q65:$Q$66))),0)</f>
        <v>-858948.52477288572</v>
      </c>
      <c r="P122" s="51">
        <f t="shared" ca="1" si="102"/>
        <v>911389.59988494241</v>
      </c>
      <c r="Q122" s="123"/>
      <c r="R122" s="51">
        <f t="shared" ca="1" si="103"/>
        <v>-1637204.2362334155</v>
      </c>
      <c r="S122" s="51">
        <f t="shared" si="104"/>
        <v>804984.47189992433</v>
      </c>
      <c r="T122" s="51">
        <f t="shared" si="114"/>
        <v>0</v>
      </c>
      <c r="U122" s="51">
        <f t="shared" ca="1" si="105"/>
        <v>-4130.2497442549275</v>
      </c>
      <c r="V122" s="51">
        <f t="shared" si="115"/>
        <v>-93566.36789134577</v>
      </c>
      <c r="W122" s="51">
        <f t="shared" ca="1" si="116"/>
        <v>-858948.52477288572</v>
      </c>
      <c r="X122" s="51">
        <f t="shared" ca="1" si="117"/>
        <v>0</v>
      </c>
      <c r="Y122" s="51">
        <f t="shared" ca="1" si="106"/>
        <v>-1788864.9067419777</v>
      </c>
      <c r="Z122" s="165"/>
      <c r="AA122" s="51">
        <f t="shared" ca="1" si="107"/>
        <v>150233</v>
      </c>
      <c r="AC122" s="51">
        <f t="shared" ca="1" si="108"/>
        <v>1939097.9067419777</v>
      </c>
      <c r="AD122" s="93">
        <f t="shared" ca="1" si="109"/>
        <v>12.907270085413842</v>
      </c>
      <c r="AF122" s="75"/>
    </row>
    <row r="123" spans="2:32" s="70" customFormat="1" outlineLevel="1" x14ac:dyDescent="0.55000000000000004">
      <c r="B123" s="116" t="s">
        <v>18</v>
      </c>
      <c r="C123" s="117">
        <v>8</v>
      </c>
      <c r="E123" s="51">
        <f t="shared" si="110"/>
        <v>-98788.560804344728</v>
      </c>
      <c r="F123" s="51">
        <f t="shared" si="111"/>
        <v>-490.28086748724797</v>
      </c>
      <c r="G123" s="51">
        <f>-(E123+F123)*($F$26="time")*IFERROR(IF($F$27="yes",D47/SUM(D47:$D$47),1/COUNT(D47:$D$47)),0)</f>
        <v>0</v>
      </c>
      <c r="H123" s="51">
        <f>-(E123+F123)*($F$26="policies IF")*IFERROR(IF(C123&lt;$F$8,IF($F$27="yes",H47/SUM(H47:$H$47),F47/SUM(F47:$F$47)),IF($F$27="yes",H66/SUM(H66:$H$66),F66/SUM(F66:$F$66))),0)</f>
        <v>0</v>
      </c>
      <c r="I123" s="51">
        <f>-(E123+F123)*($F$26="risk")*IFERROR(IF(C123&lt;$F$8,IF($F$27="yes",R47/SUM(R47:$R$47),Q47/SUM(Q47:$Q$47)),IF($F$27="yes",R66/SUM(R66:$R$66),Q66/SUM(Q66:$Q$66))),0)</f>
        <v>99278.841671831979</v>
      </c>
      <c r="J123" s="51">
        <f t="shared" si="101"/>
        <v>0</v>
      </c>
      <c r="K123" s="123"/>
      <c r="L123" s="51">
        <f ca="1">IF(C123=1,IF(F37="yes",-AD58-AH58,-W58-AA58),P122)</f>
        <v>911389.59988494241</v>
      </c>
      <c r="M123" s="51">
        <f t="shared" si="112"/>
        <v>0</v>
      </c>
      <c r="N123" s="51">
        <f t="shared" ca="1" si="113"/>
        <v>4523.1642207585783</v>
      </c>
      <c r="O123" s="51">
        <f ca="1">-(L123+M123+N123)*IFERROR(IF(C123&lt;$F$8,IF($F$24="yes",R47/SUM(R47:$R$48),Q47/SUM(Q47:$Q$48)),IF($F$24="yes",R66/SUM(R66:$R$66),Q66/SUM(Q66:$Q$66))),0)</f>
        <v>-915912.764105701</v>
      </c>
      <c r="P123" s="51">
        <f t="shared" ca="1" si="102"/>
        <v>0</v>
      </c>
      <c r="Q123" s="123"/>
      <c r="R123" s="51">
        <f t="shared" ca="1" si="103"/>
        <v>-1788864.9067419777</v>
      </c>
      <c r="S123" s="51">
        <f t="shared" si="104"/>
        <v>935571.35005321074</v>
      </c>
      <c r="T123" s="51">
        <f t="shared" si="114"/>
        <v>0</v>
      </c>
      <c r="U123" s="51">
        <f t="shared" ca="1" si="105"/>
        <v>-4234.8375337020661</v>
      </c>
      <c r="V123" s="51">
        <f t="shared" si="115"/>
        <v>-99278.841671831979</v>
      </c>
      <c r="W123" s="51">
        <f t="shared" ca="1" si="116"/>
        <v>-915912.764105701</v>
      </c>
      <c r="X123" s="51">
        <f t="shared" ca="1" si="117"/>
        <v>0</v>
      </c>
      <c r="Y123" s="51">
        <f ca="1">SUM(R123:X123)</f>
        <v>-1872720.0000000019</v>
      </c>
      <c r="Z123" s="165"/>
      <c r="AA123" s="51">
        <f t="shared" ca="1" si="107"/>
        <v>0</v>
      </c>
      <c r="AC123" s="51">
        <f t="shared" ca="1" si="108"/>
        <v>1872720.0000000019</v>
      </c>
      <c r="AD123" s="93">
        <f t="shared" ca="1" si="109"/>
        <v>0</v>
      </c>
      <c r="AF123" s="75"/>
    </row>
    <row r="124" spans="2:32" s="70" customFormat="1" outlineLevel="1" x14ac:dyDescent="0.55000000000000004">
      <c r="B124" s="120"/>
      <c r="C124" s="71"/>
      <c r="E124" s="71"/>
      <c r="F124" s="71"/>
      <c r="G124" s="71"/>
      <c r="H124" s="71"/>
      <c r="I124" s="71"/>
      <c r="J124" s="71"/>
      <c r="L124" s="77"/>
      <c r="M124" s="77"/>
      <c r="N124" s="77"/>
      <c r="O124" s="77"/>
      <c r="P124" s="77"/>
      <c r="Q124" s="55"/>
      <c r="R124" s="67"/>
      <c r="S124" s="67"/>
      <c r="T124" s="67"/>
      <c r="U124" s="67"/>
      <c r="V124" s="67"/>
      <c r="W124" s="67"/>
      <c r="X124" s="67"/>
      <c r="Y124" s="67"/>
      <c r="Z124" s="165"/>
      <c r="AA124" s="121"/>
      <c r="AC124" s="67"/>
      <c r="AD124" s="69"/>
      <c r="AF124" s="75"/>
    </row>
    <row r="125" spans="2:32" s="70" customFormat="1" outlineLevel="1" x14ac:dyDescent="0.55000000000000004">
      <c r="B125" s="51"/>
      <c r="C125" s="51"/>
      <c r="I125" s="51"/>
      <c r="L125" s="51"/>
      <c r="M125" s="51"/>
      <c r="N125" s="51"/>
      <c r="O125" s="51"/>
      <c r="Q125" s="51"/>
      <c r="R125" s="51"/>
      <c r="S125" s="51"/>
      <c r="T125" s="51"/>
      <c r="U125" s="51"/>
      <c r="V125" s="51"/>
      <c r="W125" s="51"/>
      <c r="X125" s="51"/>
      <c r="Y125" s="51"/>
      <c r="Z125" s="165"/>
      <c r="AA125" s="55"/>
      <c r="AC125" s="51"/>
      <c r="AD125" s="55"/>
      <c r="AF125" s="75"/>
    </row>
    <row r="126" spans="2:32" s="70" customFormat="1" outlineLevel="1" x14ac:dyDescent="0.55000000000000004">
      <c r="B126" s="52"/>
      <c r="C126" s="52"/>
      <c r="F126" s="52">
        <f t="shared" ref="F126:N126" si="118">SUM(F116:F123)</f>
        <v>-18915.230049489601</v>
      </c>
      <c r="G126" s="52">
        <f t="shared" si="118"/>
        <v>0</v>
      </c>
      <c r="H126" s="52">
        <f t="shared" si="118"/>
        <v>0</v>
      </c>
      <c r="I126" s="52">
        <f t="shared" si="118"/>
        <v>918915.23004948965</v>
      </c>
      <c r="J126" s="52"/>
      <c r="K126" s="52"/>
      <c r="L126" s="52"/>
      <c r="M126" s="52">
        <f t="shared" ca="1" si="118"/>
        <v>173403.45091455826</v>
      </c>
      <c r="N126" s="52">
        <f t="shared" ca="1" si="118"/>
        <v>156679.31055064223</v>
      </c>
      <c r="O126" s="52">
        <f t="shared" ref="O126" ca="1" si="119">SUM(O116:O123)</f>
        <v>-7677220.6152687771</v>
      </c>
      <c r="Q126" s="51"/>
      <c r="R126" s="52"/>
      <c r="S126" s="52">
        <f t="shared" ref="S126:X126" si="120">SUM(S116:S123)</f>
        <v>7638547.3071559789</v>
      </c>
      <c r="T126" s="52">
        <f t="shared" si="120"/>
        <v>-900000</v>
      </c>
      <c r="U126" s="52">
        <f t="shared" ca="1" si="120"/>
        <v>-15131.461837713945</v>
      </c>
      <c r="V126" s="52">
        <f t="shared" si="120"/>
        <v>-918915.23004948965</v>
      </c>
      <c r="W126" s="52">
        <f t="shared" ca="1" si="120"/>
        <v>-7677220.6152687771</v>
      </c>
      <c r="X126" s="52">
        <f t="shared" ca="1" si="120"/>
        <v>0</v>
      </c>
      <c r="Y126" s="52"/>
      <c r="Z126" s="52"/>
      <c r="AB126" s="122" t="s">
        <v>148</v>
      </c>
      <c r="AC126" s="52">
        <f ca="1">AVERAGE(AC116:AC123)</f>
        <v>1834562.1974702536</v>
      </c>
      <c r="AD126" s="74">
        <f ca="1">AVERAGE(AD116:AD123)</f>
        <v>5.1236291985295406</v>
      </c>
      <c r="AF126" s="75"/>
    </row>
    <row r="127" spans="2:32" s="70" customFormat="1" x14ac:dyDescent="0.55000000000000004">
      <c r="B127" s="51"/>
      <c r="C127" s="51"/>
      <c r="D127" s="51"/>
      <c r="E127" s="51"/>
      <c r="F127" s="51"/>
      <c r="G127" s="51"/>
      <c r="H127" s="51"/>
      <c r="I127" s="51"/>
      <c r="J127" s="51"/>
      <c r="K127" s="51"/>
      <c r="L127" s="51"/>
      <c r="M127" s="52"/>
      <c r="N127" s="52"/>
      <c r="O127" s="52"/>
      <c r="P127" s="52"/>
      <c r="Q127" s="52"/>
      <c r="R127" s="52"/>
      <c r="S127" s="52"/>
      <c r="T127" s="52"/>
      <c r="U127" s="52"/>
      <c r="V127" s="51"/>
      <c r="AF127" s="75"/>
    </row>
    <row r="128" spans="2:32" s="70" customFormat="1" x14ac:dyDescent="0.55000000000000004">
      <c r="B128" s="51"/>
      <c r="C128" s="51"/>
      <c r="D128" s="51"/>
      <c r="E128" s="51"/>
      <c r="F128" s="51"/>
      <c r="G128" s="51"/>
      <c r="H128" s="51"/>
      <c r="I128" s="51"/>
      <c r="J128" s="51"/>
      <c r="K128" s="51"/>
      <c r="L128" s="51"/>
      <c r="M128" s="52"/>
      <c r="N128" s="52"/>
      <c r="O128" s="52"/>
      <c r="P128" s="52"/>
      <c r="Q128" s="52"/>
      <c r="R128" s="52"/>
      <c r="S128" s="52"/>
      <c r="T128" s="52"/>
      <c r="U128" s="52"/>
      <c r="V128" s="51"/>
      <c r="AF128" s="75"/>
    </row>
    <row r="129" spans="4:11" x14ac:dyDescent="0.55000000000000004">
      <c r="D129" s="55"/>
    </row>
    <row r="130" spans="4:11" x14ac:dyDescent="0.55000000000000004">
      <c r="D130" s="51"/>
    </row>
    <row r="131" spans="4:11" x14ac:dyDescent="0.55000000000000004">
      <c r="D131" s="51"/>
    </row>
    <row r="132" spans="4:11" x14ac:dyDescent="0.55000000000000004">
      <c r="D132" s="51"/>
      <c r="E132" s="55"/>
      <c r="F132" s="55"/>
      <c r="G132" s="55"/>
      <c r="H132" s="70"/>
      <c r="I132" s="70"/>
      <c r="J132" s="70"/>
      <c r="K132" s="70"/>
    </row>
  </sheetData>
  <sheetProtection algorithmName="SHA-512" hashValue="y+/pvAquQTIV0iduoeu7LkVg6CJkz7CBNg//Bo45DirD9pub4hUhV7DGp3A7JNDjifAbfACXk86Xp/EYLkQ8pQ==" saltValue="yAXk3qDCTKdfFc4GRgQNhA==" spinCount="100000" sheet="1" objects="1" scenarios="1"/>
  <protectedRanges>
    <protectedRange sqref="J59:J66 O59:O66 T59:T66" name="Range8"/>
    <protectedRange sqref="F21:F29" name="Range6"/>
    <protectedRange sqref="G14" name="Range4"/>
    <protectedRange sqref="F11:F14" name="Range2"/>
    <protectedRange sqref="F8" name="Range1"/>
    <protectedRange sqref="G11:G12" name="Range3"/>
    <protectedRange sqref="F17:G19" name="Range5"/>
    <protectedRange sqref="J40:J47 O40:O47 T40:T47" name="Range7"/>
  </protectedRanges>
  <mergeCells count="39">
    <mergeCell ref="T74:U74"/>
    <mergeCell ref="AK36:AL36"/>
    <mergeCell ref="AN36:AO36"/>
    <mergeCell ref="AD55:AI55"/>
    <mergeCell ref="AK55:AL55"/>
    <mergeCell ref="AN55:AO55"/>
    <mergeCell ref="AD36:AI36"/>
    <mergeCell ref="B36:D36"/>
    <mergeCell ref="F36:H36"/>
    <mergeCell ref="J36:M36"/>
    <mergeCell ref="O36:R36"/>
    <mergeCell ref="W36:AB36"/>
    <mergeCell ref="T36:U36"/>
    <mergeCell ref="AQ55:AS55"/>
    <mergeCell ref="B74:D74"/>
    <mergeCell ref="F74:H74"/>
    <mergeCell ref="J74:M74"/>
    <mergeCell ref="O74:R74"/>
    <mergeCell ref="W74:AB74"/>
    <mergeCell ref="AD74:AI74"/>
    <mergeCell ref="AK74:AL74"/>
    <mergeCell ref="AN74:AO74"/>
    <mergeCell ref="AQ74:AS74"/>
    <mergeCell ref="B55:D55"/>
    <mergeCell ref="F55:H55"/>
    <mergeCell ref="J55:M55"/>
    <mergeCell ref="O55:R55"/>
    <mergeCell ref="W55:AB55"/>
    <mergeCell ref="T55:U55"/>
    <mergeCell ref="AE93:AK93"/>
    <mergeCell ref="B112:C112"/>
    <mergeCell ref="E112:J112"/>
    <mergeCell ref="L112:P112"/>
    <mergeCell ref="AC112:AD112"/>
    <mergeCell ref="B93:C93"/>
    <mergeCell ref="E93:M93"/>
    <mergeCell ref="O93:U93"/>
    <mergeCell ref="R112:Y112"/>
    <mergeCell ref="W93:AC93"/>
  </mergeCells>
  <dataValidations count="13">
    <dataValidation type="decimal" operator="greaterThanOrEqual" allowBlank="1" showInputMessage="1" showErrorMessage="1" error="Claims ratio cannot be negative" sqref="F11:G11" xr:uid="{C2759BFB-D161-4228-9C54-C3AA43E71B9E}">
      <formula1>0</formula1>
    </dataValidation>
    <dataValidation type="decimal" allowBlank="1" showInputMessage="1" showErrorMessage="1" error="Lapsre ratio should be between 0 and 100%" sqref="F19:G19" xr:uid="{D20B27C2-51D8-4546-8808-ED3815C9A963}">
      <formula1>0</formula1>
      <formula2>1</formula2>
    </dataValidation>
    <dataValidation type="list" operator="greaterThanOrEqual" allowBlank="1" showInputMessage="1" showErrorMessage="1" error="Discount rate cannot be negative" sqref="F26" xr:uid="{B6CEA918-2813-412F-A9B3-2132EBA6932D}">
      <formula1>"time, policies IF, risk, immediate"</formula1>
    </dataValidation>
    <dataValidation type="list" operator="greaterThanOrEqual" allowBlank="1" showInputMessage="1" showErrorMessage="1" error="Discount rate cannot be negative" sqref="F23:F25 F27 F29" xr:uid="{3B2898EB-CA6B-43CE-A086-DC94B47C4266}">
      <formula1>"yes, no"</formula1>
    </dataValidation>
    <dataValidation type="decimal" operator="greaterThan" allowBlank="1" showInputMessage="1" showErrorMessage="1" error="Coverage units have to be greater than zero" sqref="J59:M66 J78:M85 O59:O66 O40:O47 O78:O85 J40:M47 T40:T50 T59:T69 T78:T88" xr:uid="{B0697064-D456-46A1-B01D-0E6780A9A161}">
      <formula1>0</formula1>
    </dataValidation>
    <dataValidation type="decimal" operator="greaterThan" allowBlank="1" showInputMessage="1" showErrorMessage="1" error="Risk distribution weights have to be greater than zero" sqref="P59:Q66 P78:Q85 P40:Q47 U40:U50 U59:U69 U78:U88" xr:uid="{48EAA0EB-EA0A-48A7-91CB-DA589710F275}">
      <formula1>0</formula1>
    </dataValidation>
    <dataValidation type="decimal" operator="greaterThanOrEqual" allowBlank="1" showInputMessage="1" showErrorMessage="1" error="Discount rate cannot be negative" sqref="F17:G18" xr:uid="{3BEE1314-675A-45BF-A577-A981986C53C5}">
      <formula1>0</formula1>
    </dataValidation>
    <dataValidation type="decimal" operator="greaterThan" allowBlank="1" showInputMessage="1" showErrorMessage="1" error="Total premiums have to be greater than zero" sqref="F21" xr:uid="{9E465004-DA7A-48BC-81C7-454650F60753}">
      <formula1>0</formula1>
    </dataValidation>
    <dataValidation type="decimal" operator="greaterThanOrEqual" allowBlank="1" showInputMessage="1" showErrorMessage="1" error="Risk adjustment percentage cannot be negative" sqref="F14:G14" xr:uid="{F6E6E343-8A33-4050-875B-D57A25144B71}">
      <formula1>0</formula1>
    </dataValidation>
    <dataValidation type="list" allowBlank="1" showInputMessage="1" showErrorMessage="1" sqref="F22" xr:uid="{73774596-E708-40DE-B599-1B6D267590D9}">
      <formula1>"single,annual,semi-ann,quarterly,pattern"</formula1>
    </dataValidation>
    <dataValidation type="list" allowBlank="1" showInputMessage="1" showErrorMessage="1" sqref="F8" xr:uid="{0D3AAE5D-DD59-41EC-AB85-41447E89BA04}">
      <formula1>$C$40:$C$47</formula1>
    </dataValidation>
    <dataValidation type="decimal" operator="greaterThanOrEqual" allowBlank="1" showInputMessage="1" showErrorMessage="1" sqref="G12:G13 F12" xr:uid="{717E7B6A-681F-4EAB-B511-B5720005189B}">
      <formula1>0</formula1>
    </dataValidation>
    <dataValidation type="list" operator="greaterThanOrEqual" allowBlank="1" showInputMessage="1" showErrorMessage="1" error="Discount rate cannot be negative" sqref="F28" xr:uid="{139D9DCA-B09C-473E-B925-4050D118A02E}">
      <formula1>"time, policies IF, risk"</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866C7-B34F-4417-AB88-3D835E7365CD}">
  <sheetPr>
    <tabColor theme="4" tint="-0.249977111117893"/>
  </sheetPr>
  <dimension ref="A5:BK152"/>
  <sheetViews>
    <sheetView showGridLines="0" zoomScale="70" zoomScaleNormal="70" workbookViewId="0">
      <pane ySplit="3" topLeftCell="A4" activePane="bottomLeft" state="frozen"/>
      <selection pane="bottomLeft" activeCell="A32" sqref="A32"/>
    </sheetView>
  </sheetViews>
  <sheetFormatPr defaultRowHeight="14.4" outlineLevelRow="1" x14ac:dyDescent="0.55000000000000004"/>
  <cols>
    <col min="1" max="1" width="5.578125" customWidth="1"/>
    <col min="2" max="32" width="12.68359375" customWidth="1"/>
    <col min="33" max="33" width="12.68359375" style="11" customWidth="1"/>
    <col min="34" max="45" width="12.68359375" customWidth="1"/>
    <col min="46" max="67" width="9.15625" customWidth="1"/>
  </cols>
  <sheetData>
    <row r="5" spans="2:63" ht="18.3" x14ac:dyDescent="0.7">
      <c r="B5" s="2"/>
      <c r="C5" s="2"/>
      <c r="D5" s="2"/>
      <c r="E5" s="2"/>
      <c r="F5" s="2"/>
      <c r="G5" s="2"/>
      <c r="H5" s="2"/>
      <c r="I5" s="2"/>
      <c r="J5" s="2"/>
      <c r="K5" s="96"/>
      <c r="L5" s="2"/>
      <c r="M5" s="2"/>
      <c r="N5" s="2"/>
      <c r="O5" s="2"/>
      <c r="P5" s="2"/>
      <c r="Q5" s="2"/>
      <c r="R5" s="2"/>
      <c r="S5" s="2"/>
      <c r="T5" s="2"/>
      <c r="U5" s="2"/>
      <c r="V5" s="2"/>
      <c r="W5" s="2"/>
      <c r="X5" s="2"/>
      <c r="Y5" s="2"/>
      <c r="Z5" s="2"/>
      <c r="AA5" s="127"/>
      <c r="AB5" s="127"/>
      <c r="AC5" s="127"/>
      <c r="AD5" s="127"/>
      <c r="AE5" s="127"/>
      <c r="AF5" s="127"/>
      <c r="AG5" s="127"/>
      <c r="AH5" s="127"/>
      <c r="AI5" s="127"/>
      <c r="AJ5" s="127"/>
      <c r="AK5" s="127"/>
      <c r="AL5" s="127"/>
      <c r="AM5" s="127"/>
      <c r="AN5" s="127"/>
      <c r="AO5" s="2"/>
      <c r="AP5" s="2"/>
      <c r="AQ5" s="2"/>
      <c r="AR5" s="2"/>
      <c r="AS5" s="2"/>
      <c r="AT5" s="2"/>
      <c r="AU5" s="2"/>
      <c r="AV5" s="2"/>
      <c r="AW5" s="2"/>
      <c r="AX5" s="2"/>
      <c r="AY5" s="2"/>
      <c r="AZ5" s="2"/>
      <c r="BA5" s="2"/>
      <c r="BB5" s="2"/>
      <c r="BC5" s="2"/>
      <c r="BD5" s="2"/>
      <c r="BE5" s="2"/>
      <c r="BF5" s="2"/>
      <c r="BG5" s="2"/>
      <c r="BH5" s="2"/>
      <c r="BI5" s="2"/>
      <c r="BJ5" s="2"/>
      <c r="BK5" s="2"/>
    </row>
    <row r="6" spans="2:63" x14ac:dyDescent="0.55000000000000004">
      <c r="B6" s="2"/>
      <c r="C6" s="2"/>
      <c r="D6" s="2"/>
      <c r="E6" s="2"/>
      <c r="F6" s="2"/>
      <c r="G6" s="2"/>
      <c r="H6" s="2"/>
      <c r="I6" s="2"/>
      <c r="J6" s="2"/>
      <c r="K6" s="2"/>
      <c r="L6" s="2"/>
      <c r="M6" s="2"/>
      <c r="N6" s="2"/>
      <c r="O6" s="2"/>
      <c r="P6" s="2"/>
      <c r="Q6" s="2"/>
      <c r="R6" s="2"/>
      <c r="S6" s="2"/>
      <c r="T6" s="2"/>
      <c r="U6" s="2"/>
      <c r="V6" s="2"/>
      <c r="W6" s="2"/>
      <c r="X6" s="2"/>
      <c r="Y6" s="2"/>
      <c r="Z6" s="2"/>
      <c r="AA6" s="127"/>
      <c r="AB6" s="127"/>
      <c r="AC6" s="127"/>
      <c r="AD6" s="127"/>
      <c r="AE6" s="127"/>
      <c r="AF6" s="127"/>
      <c r="AG6" s="127"/>
      <c r="AH6" s="127"/>
      <c r="AI6" s="127"/>
      <c r="AJ6" s="127"/>
      <c r="AK6" s="127"/>
      <c r="AL6" s="127"/>
      <c r="AM6" s="127"/>
      <c r="AN6" s="127"/>
      <c r="AO6" s="2"/>
      <c r="AP6" s="2"/>
      <c r="AQ6" s="2"/>
      <c r="AR6" s="2"/>
      <c r="AS6" s="2"/>
      <c r="AT6" s="2"/>
      <c r="AU6" s="2"/>
      <c r="AV6" s="2"/>
      <c r="AW6" s="2"/>
      <c r="AX6" s="2"/>
      <c r="AY6" s="2"/>
      <c r="AZ6" s="2"/>
      <c r="BA6" s="2"/>
      <c r="BB6" s="2"/>
      <c r="BC6" s="2"/>
      <c r="BD6" s="2"/>
      <c r="BE6" s="2"/>
      <c r="BF6" s="2"/>
      <c r="BG6" s="2"/>
      <c r="BH6" s="2"/>
      <c r="BI6" s="2"/>
      <c r="BJ6" s="2"/>
      <c r="BK6" s="2"/>
    </row>
    <row r="7" spans="2:63" x14ac:dyDescent="0.55000000000000004">
      <c r="B7" s="140" t="s">
        <v>155</v>
      </c>
      <c r="C7" s="2"/>
      <c r="D7" s="2"/>
      <c r="E7" s="2"/>
      <c r="F7" s="106">
        <v>3</v>
      </c>
      <c r="G7" s="106"/>
      <c r="H7" s="2"/>
      <c r="I7" s="2"/>
      <c r="J7" s="2"/>
      <c r="K7" s="2"/>
      <c r="L7" s="2"/>
      <c r="M7" s="2"/>
      <c r="N7" s="2"/>
      <c r="O7" s="2"/>
      <c r="P7" s="2"/>
      <c r="Q7" s="2"/>
      <c r="R7" s="2"/>
      <c r="S7" s="2"/>
      <c r="T7" s="2"/>
      <c r="U7" s="2"/>
      <c r="V7" s="2"/>
      <c r="W7" s="2"/>
      <c r="X7" s="2"/>
      <c r="Y7" s="2"/>
      <c r="Z7" s="2"/>
      <c r="AA7" s="127"/>
      <c r="AB7" s="127"/>
      <c r="AC7" s="127"/>
      <c r="AD7" s="127"/>
      <c r="AE7" s="127"/>
      <c r="AF7" s="127"/>
      <c r="AG7" s="127"/>
      <c r="AH7" s="127"/>
      <c r="AI7" s="127"/>
      <c r="AJ7" s="127"/>
      <c r="AK7" s="127"/>
      <c r="AL7" s="127"/>
      <c r="AM7" s="127"/>
      <c r="AN7" s="127"/>
      <c r="AO7" s="2"/>
      <c r="AP7" s="2"/>
      <c r="AQ7" s="2"/>
      <c r="AR7" s="2"/>
      <c r="AS7" s="2"/>
      <c r="AT7" s="2"/>
      <c r="AU7" s="2"/>
      <c r="AV7" s="2"/>
      <c r="AW7" s="2"/>
      <c r="AX7" s="2"/>
      <c r="AY7" s="2"/>
      <c r="AZ7" s="2"/>
      <c r="BA7" s="2"/>
      <c r="BB7" s="2"/>
      <c r="BC7" s="2"/>
      <c r="BD7" s="2"/>
      <c r="BE7" s="2"/>
      <c r="BF7" s="2"/>
      <c r="BG7" s="2"/>
      <c r="BH7" s="2"/>
      <c r="BI7" s="2"/>
      <c r="BJ7" s="2"/>
      <c r="BK7" s="2"/>
    </row>
    <row r="8" spans="2:63" x14ac:dyDescent="0.55000000000000004">
      <c r="B8" s="140" t="s">
        <v>162</v>
      </c>
      <c r="C8" s="2"/>
      <c r="D8" s="2"/>
      <c r="E8" s="2"/>
      <c r="F8" s="103">
        <v>7</v>
      </c>
      <c r="G8" s="106"/>
      <c r="H8" s="2"/>
      <c r="I8" s="2"/>
      <c r="J8" s="2"/>
      <c r="K8" s="2"/>
      <c r="L8" s="2"/>
      <c r="M8" s="2"/>
      <c r="N8" s="2"/>
      <c r="O8" s="2"/>
      <c r="P8" s="2"/>
      <c r="Q8" s="2"/>
      <c r="R8" s="2"/>
      <c r="S8" s="2"/>
      <c r="T8" s="2"/>
      <c r="U8" s="2"/>
      <c r="V8" s="2"/>
      <c r="W8" s="2"/>
      <c r="X8" s="2"/>
      <c r="Y8" s="2"/>
      <c r="Z8" s="2"/>
      <c r="AA8" s="127"/>
      <c r="AB8" s="127"/>
      <c r="AC8" s="127"/>
      <c r="AD8" s="127"/>
      <c r="AE8" s="127"/>
      <c r="AF8" s="127"/>
      <c r="AG8" s="127"/>
      <c r="AH8" s="127"/>
      <c r="AI8" s="127"/>
      <c r="AJ8" s="127"/>
      <c r="AK8" s="127"/>
      <c r="AL8" s="127"/>
      <c r="AM8" s="127"/>
      <c r="AN8" s="127"/>
      <c r="AO8" s="2"/>
      <c r="AP8" s="2"/>
      <c r="AQ8" s="2"/>
      <c r="AR8" s="2"/>
      <c r="AS8" s="2"/>
      <c r="AT8" s="2"/>
      <c r="AU8" s="2"/>
      <c r="AV8" s="2"/>
      <c r="AW8" s="2"/>
      <c r="AX8" s="2"/>
      <c r="AY8" s="2"/>
      <c r="AZ8" s="2"/>
      <c r="BA8" s="2"/>
      <c r="BB8" s="2"/>
      <c r="BC8" s="2"/>
      <c r="BD8" s="2"/>
      <c r="BE8" s="2"/>
      <c r="BF8" s="2"/>
      <c r="BG8" s="2"/>
      <c r="BH8" s="2"/>
      <c r="BI8" s="2"/>
      <c r="BJ8" s="2"/>
      <c r="BK8" s="2"/>
    </row>
    <row r="9" spans="2:63" x14ac:dyDescent="0.55000000000000004">
      <c r="B9" s="141"/>
      <c r="C9" s="2"/>
      <c r="D9" s="2"/>
      <c r="E9" s="2"/>
      <c r="F9" s="2"/>
      <c r="G9" s="2"/>
      <c r="H9" s="2"/>
      <c r="I9" s="2"/>
      <c r="J9" s="2"/>
      <c r="K9" s="2"/>
      <c r="L9" s="2"/>
      <c r="M9" s="2"/>
      <c r="N9" s="2"/>
      <c r="O9" s="2"/>
      <c r="P9" s="2"/>
      <c r="Q9" s="2"/>
      <c r="R9" s="2"/>
      <c r="S9" s="2"/>
      <c r="T9" s="2"/>
      <c r="U9" s="2"/>
      <c r="V9" s="2"/>
      <c r="W9" s="2"/>
      <c r="X9" s="2"/>
      <c r="Y9" s="2"/>
      <c r="Z9" s="2"/>
      <c r="AA9" s="127"/>
      <c r="AB9" s="127"/>
      <c r="AC9" s="127"/>
      <c r="AD9" s="127"/>
      <c r="AE9" s="127"/>
      <c r="AF9" s="127"/>
      <c r="AG9" s="127"/>
      <c r="AH9" s="127"/>
      <c r="AI9" s="127"/>
      <c r="AJ9" s="127"/>
      <c r="AK9" s="127"/>
      <c r="AL9" s="127"/>
      <c r="AM9" s="127"/>
      <c r="AN9" s="127"/>
      <c r="AO9" s="2"/>
      <c r="AP9" s="2"/>
      <c r="AQ9" s="2"/>
      <c r="AR9" s="2"/>
      <c r="AS9" s="2"/>
      <c r="AT9" s="2"/>
      <c r="AU9" s="2"/>
      <c r="AV9" s="2"/>
      <c r="AW9" s="2"/>
      <c r="AX9" s="2"/>
      <c r="AY9" s="2"/>
      <c r="AZ9" s="2"/>
      <c r="BA9" s="2"/>
      <c r="BB9" s="2"/>
      <c r="BC9" s="2"/>
      <c r="BD9" s="2"/>
      <c r="BE9" s="2"/>
      <c r="BF9" s="2"/>
      <c r="BG9" s="2"/>
      <c r="BH9" s="2"/>
      <c r="BI9" s="2"/>
      <c r="BJ9" s="2"/>
      <c r="BK9" s="2"/>
    </row>
    <row r="10" spans="2:63" ht="14.5" customHeight="1" x14ac:dyDescent="0.55000000000000004">
      <c r="B10" s="141"/>
      <c r="C10" s="2"/>
      <c r="D10" s="2"/>
      <c r="E10" s="2"/>
      <c r="F10" s="139" t="s">
        <v>156</v>
      </c>
      <c r="G10" s="139" t="s">
        <v>157</v>
      </c>
      <c r="I10" s="2"/>
      <c r="J10" s="2"/>
      <c r="K10" s="2"/>
      <c r="L10" s="2"/>
      <c r="M10" s="2"/>
      <c r="N10" s="2"/>
      <c r="O10" s="2"/>
      <c r="P10" s="2"/>
      <c r="Q10" s="2"/>
      <c r="R10" s="2"/>
      <c r="S10" s="2"/>
      <c r="T10" s="2"/>
      <c r="U10" s="2"/>
      <c r="V10" s="2"/>
      <c r="W10" s="2"/>
      <c r="X10" s="2"/>
      <c r="Y10" s="2"/>
      <c r="Z10" s="2"/>
      <c r="AA10" s="127"/>
      <c r="AB10" s="127"/>
      <c r="AC10" s="127"/>
      <c r="AD10" s="127"/>
      <c r="AE10" s="127"/>
      <c r="AF10" s="127"/>
      <c r="AG10" s="127"/>
      <c r="AH10" s="127"/>
      <c r="AI10" s="127"/>
      <c r="AJ10" s="127"/>
      <c r="AK10" s="127"/>
      <c r="AL10" s="127"/>
      <c r="AM10" s="127"/>
      <c r="AN10" s="127"/>
      <c r="AO10" s="2"/>
      <c r="AP10" s="2"/>
      <c r="AQ10" s="2"/>
      <c r="AR10" s="2"/>
      <c r="AS10" s="2"/>
      <c r="AT10" s="2"/>
      <c r="AU10" s="2"/>
      <c r="AV10" s="2"/>
      <c r="AW10" s="2"/>
      <c r="AX10" s="2"/>
      <c r="AY10" s="2"/>
      <c r="AZ10" s="2"/>
      <c r="BA10" s="2"/>
      <c r="BB10" s="2"/>
      <c r="BC10" s="2"/>
      <c r="BD10" s="2"/>
      <c r="BE10" s="2"/>
      <c r="BF10" s="2"/>
      <c r="BG10" s="2"/>
      <c r="BH10" s="2"/>
      <c r="BI10" s="2"/>
      <c r="BJ10" s="2"/>
      <c r="BK10" s="2"/>
    </row>
    <row r="11" spans="2:63" x14ac:dyDescent="0.55000000000000004">
      <c r="B11" s="140" t="s">
        <v>413</v>
      </c>
      <c r="C11" s="2"/>
      <c r="D11" s="2"/>
      <c r="E11" s="2"/>
      <c r="F11" s="102">
        <v>0.6</v>
      </c>
      <c r="G11" s="104">
        <v>0.5</v>
      </c>
      <c r="N11" s="2"/>
      <c r="O11" s="2"/>
      <c r="P11" s="2"/>
      <c r="Q11" s="2"/>
      <c r="S11" s="2"/>
      <c r="T11" s="2"/>
      <c r="U11" s="2"/>
      <c r="V11" s="2"/>
      <c r="W11" s="2"/>
      <c r="X11" s="2"/>
      <c r="Y11" s="2"/>
      <c r="Z11" s="2"/>
      <c r="AA11" s="127"/>
      <c r="AB11" s="127"/>
      <c r="AC11" s="127"/>
      <c r="AD11" s="127"/>
      <c r="AE11" s="127"/>
      <c r="AF11" s="127"/>
      <c r="AG11" s="127"/>
      <c r="AH11" s="127"/>
      <c r="AI11" s="127"/>
      <c r="AJ11" s="127"/>
      <c r="AK11" s="127"/>
      <c r="AL11" s="127"/>
      <c r="AM11" s="127"/>
      <c r="AN11" s="127"/>
      <c r="AO11" s="2"/>
      <c r="AP11" s="2"/>
      <c r="AQ11" s="2"/>
      <c r="AR11" s="2"/>
      <c r="AS11" s="2"/>
      <c r="AT11" s="2"/>
      <c r="AU11" s="2"/>
      <c r="AV11" s="2"/>
      <c r="AW11" s="2"/>
      <c r="AX11" s="2"/>
      <c r="AY11" s="2"/>
      <c r="AZ11" s="2"/>
      <c r="BA11" s="2"/>
      <c r="BB11" s="2"/>
      <c r="BC11" s="2"/>
      <c r="BD11" s="2"/>
      <c r="BE11" s="2"/>
      <c r="BF11" s="2"/>
      <c r="BG11" s="2"/>
      <c r="BH11" s="2"/>
      <c r="BI11" s="2"/>
      <c r="BJ11" s="2"/>
      <c r="BK11" s="2"/>
    </row>
    <row r="12" spans="2:63" x14ac:dyDescent="0.55000000000000004">
      <c r="B12" s="140" t="s">
        <v>160</v>
      </c>
      <c r="C12" s="2"/>
      <c r="D12" s="2"/>
      <c r="E12" s="2"/>
      <c r="F12" s="102">
        <v>0.15</v>
      </c>
      <c r="G12" s="102">
        <v>0.1</v>
      </c>
      <c r="N12" s="2"/>
      <c r="O12" s="2"/>
      <c r="P12" s="2"/>
      <c r="Q12" s="2"/>
      <c r="S12" s="2"/>
      <c r="T12" s="2"/>
      <c r="U12" s="2"/>
      <c r="V12" s="2"/>
      <c r="W12" s="2"/>
      <c r="X12" s="2"/>
      <c r="Y12" s="2"/>
      <c r="Z12" s="2"/>
      <c r="AA12" s="127"/>
      <c r="AB12" s="127"/>
      <c r="AC12" s="127"/>
      <c r="AD12" s="127"/>
      <c r="AE12" s="127"/>
      <c r="AF12" s="127"/>
      <c r="AG12" s="127"/>
      <c r="AH12" s="127"/>
      <c r="AI12" s="127"/>
      <c r="AJ12" s="127"/>
      <c r="AK12" s="127"/>
      <c r="AL12" s="127"/>
      <c r="AM12" s="127"/>
      <c r="AN12" s="127"/>
      <c r="AO12" s="2"/>
      <c r="AP12" s="2"/>
      <c r="AQ12" s="2"/>
      <c r="AR12" s="2"/>
      <c r="AS12" s="2"/>
      <c r="AT12" s="2"/>
      <c r="AU12" s="2"/>
      <c r="AV12" s="2"/>
      <c r="AW12" s="2"/>
      <c r="AX12" s="2"/>
      <c r="AY12" s="2"/>
      <c r="AZ12" s="2"/>
      <c r="BA12" s="2"/>
      <c r="BB12" s="2"/>
      <c r="BC12" s="2"/>
      <c r="BD12" s="2"/>
      <c r="BE12" s="2"/>
      <c r="BF12" s="2"/>
      <c r="BG12" s="2"/>
      <c r="BH12" s="2"/>
      <c r="BI12" s="2"/>
      <c r="BJ12" s="2"/>
      <c r="BK12" s="2"/>
    </row>
    <row r="13" spans="2:63" x14ac:dyDescent="0.55000000000000004">
      <c r="B13" s="140" t="s">
        <v>433</v>
      </c>
      <c r="C13" s="2"/>
      <c r="D13" s="2"/>
      <c r="E13" s="2"/>
      <c r="F13" s="102">
        <v>0.1</v>
      </c>
      <c r="G13" s="110">
        <f>F13</f>
        <v>0.1</v>
      </c>
      <c r="N13" s="2"/>
      <c r="O13" s="2"/>
      <c r="P13" s="2"/>
      <c r="Q13" s="2"/>
      <c r="S13" s="2"/>
      <c r="T13" s="2"/>
      <c r="U13" s="2"/>
      <c r="V13" s="2"/>
      <c r="W13" s="2"/>
      <c r="X13" s="2"/>
      <c r="Y13" s="2"/>
      <c r="Z13" s="2"/>
      <c r="AA13" s="127"/>
      <c r="AB13" s="127"/>
      <c r="AC13" s="127"/>
      <c r="AD13" s="127"/>
      <c r="AE13" s="127"/>
      <c r="AF13" s="127"/>
      <c r="AG13" s="127"/>
      <c r="AH13" s="127"/>
      <c r="AI13" s="127"/>
      <c r="AJ13" s="127"/>
      <c r="AK13" s="127"/>
      <c r="AL13" s="127"/>
      <c r="AM13" s="127"/>
      <c r="AN13" s="127"/>
      <c r="AO13" s="2"/>
      <c r="AP13" s="2"/>
      <c r="AQ13" s="2"/>
      <c r="AR13" s="2"/>
      <c r="AS13" s="2"/>
      <c r="AT13" s="2"/>
      <c r="AU13" s="2"/>
      <c r="AV13" s="2"/>
      <c r="AW13" s="2"/>
      <c r="AX13" s="2"/>
      <c r="AY13" s="2"/>
      <c r="AZ13" s="2"/>
      <c r="BA13" s="2"/>
      <c r="BB13" s="2"/>
      <c r="BC13" s="2"/>
      <c r="BD13" s="2"/>
      <c r="BE13" s="2"/>
      <c r="BF13" s="2"/>
      <c r="BG13" s="2"/>
      <c r="BH13" s="2"/>
      <c r="BI13" s="2"/>
      <c r="BJ13" s="2"/>
      <c r="BK13" s="2"/>
    </row>
    <row r="14" spans="2:63" x14ac:dyDescent="0.55000000000000004">
      <c r="B14" s="140" t="s">
        <v>379</v>
      </c>
      <c r="C14" s="2"/>
      <c r="D14" s="2"/>
      <c r="E14" s="2"/>
      <c r="F14" s="102">
        <v>0.05</v>
      </c>
      <c r="G14" s="102">
        <v>0.03</v>
      </c>
      <c r="N14" s="2"/>
      <c r="O14" s="2"/>
      <c r="P14" s="2"/>
      <c r="Q14" s="2"/>
      <c r="S14" s="2"/>
      <c r="T14" s="2"/>
      <c r="U14" s="2"/>
      <c r="V14" s="2"/>
      <c r="W14" s="2"/>
      <c r="X14" s="2"/>
      <c r="Y14" s="2"/>
      <c r="Z14" s="2"/>
      <c r="AA14" s="127"/>
      <c r="AB14" s="127"/>
      <c r="AC14" s="127"/>
      <c r="AD14" s="127"/>
      <c r="AE14" s="127"/>
      <c r="AF14" s="127"/>
      <c r="AG14" s="127"/>
      <c r="AH14" s="127"/>
      <c r="AI14" s="127"/>
      <c r="AJ14" s="127"/>
      <c r="AK14" s="127"/>
      <c r="AL14" s="127"/>
      <c r="AM14" s="127"/>
      <c r="AN14" s="127"/>
      <c r="AO14" s="2"/>
      <c r="AP14" s="2"/>
      <c r="AQ14" s="2"/>
      <c r="AR14" s="2"/>
      <c r="AS14" s="2"/>
      <c r="AT14" s="2"/>
      <c r="AU14" s="2"/>
      <c r="AV14" s="2"/>
      <c r="AW14" s="2"/>
      <c r="AX14" s="2"/>
      <c r="AY14" s="2"/>
      <c r="AZ14" s="2"/>
      <c r="BA14" s="2"/>
      <c r="BB14" s="2"/>
      <c r="BC14" s="2"/>
      <c r="BD14" s="2"/>
      <c r="BE14" s="2"/>
      <c r="BF14" s="2"/>
      <c r="BG14" s="2"/>
      <c r="BH14" s="2"/>
      <c r="BI14" s="2"/>
      <c r="BJ14" s="2"/>
      <c r="BK14" s="2"/>
    </row>
    <row r="15" spans="2:63" x14ac:dyDescent="0.55000000000000004">
      <c r="B15" s="140" t="s">
        <v>380</v>
      </c>
      <c r="C15" s="2"/>
      <c r="D15" s="2"/>
      <c r="E15" s="2"/>
      <c r="F15" s="129">
        <f>(F11-F12)*(1+F14)-F13</f>
        <v>0.37249999999999994</v>
      </c>
      <c r="G15" s="129">
        <f>(G11-G12)*(1+G14)-G13</f>
        <v>0.31200000000000006</v>
      </c>
      <c r="N15" s="2"/>
      <c r="O15" s="2"/>
      <c r="P15" s="2"/>
      <c r="Q15" s="2"/>
      <c r="S15" s="2"/>
      <c r="T15" s="2"/>
      <c r="U15" s="2"/>
      <c r="V15" s="2"/>
      <c r="W15" s="2"/>
      <c r="X15" s="2"/>
      <c r="Y15" s="2"/>
      <c r="Z15" s="2"/>
      <c r="AA15" s="127"/>
      <c r="AB15" s="127"/>
      <c r="AC15" s="127"/>
      <c r="AD15" s="127"/>
      <c r="AE15" s="127"/>
      <c r="AF15" s="127"/>
      <c r="AG15" s="127"/>
      <c r="AH15" s="127"/>
      <c r="AI15" s="127"/>
      <c r="AJ15" s="127"/>
      <c r="AK15" s="127"/>
      <c r="AL15" s="127"/>
      <c r="AM15" s="127"/>
      <c r="AN15" s="127"/>
      <c r="AO15" s="2"/>
      <c r="AP15" s="2"/>
      <c r="AQ15" s="2"/>
      <c r="AR15" s="2"/>
      <c r="AS15" s="2"/>
      <c r="AT15" s="2"/>
      <c r="AU15" s="2"/>
      <c r="AV15" s="2"/>
      <c r="AW15" s="2"/>
      <c r="AY15" s="2"/>
      <c r="AZ15" s="2"/>
      <c r="BA15" s="2"/>
      <c r="BB15" s="2"/>
      <c r="BC15" s="2"/>
      <c r="BD15" s="2"/>
      <c r="BE15" s="2"/>
      <c r="BF15" s="2"/>
      <c r="BG15" s="2"/>
      <c r="BH15" s="2"/>
      <c r="BI15" s="2"/>
      <c r="BJ15" s="2"/>
      <c r="BK15" s="2"/>
    </row>
    <row r="16" spans="2:63" x14ac:dyDescent="0.55000000000000004">
      <c r="B16" s="140"/>
      <c r="C16" s="2"/>
      <c r="D16" s="2"/>
      <c r="E16" s="2"/>
      <c r="F16" s="97"/>
      <c r="G16" s="97"/>
      <c r="N16" s="2"/>
      <c r="O16" s="2"/>
      <c r="P16" s="2"/>
      <c r="Q16" s="2"/>
      <c r="S16" s="2"/>
      <c r="T16" s="2"/>
      <c r="U16" s="2"/>
      <c r="V16" s="2"/>
      <c r="W16" s="2"/>
      <c r="X16" s="2"/>
      <c r="Y16" s="2"/>
      <c r="Z16" s="2"/>
      <c r="AA16" s="127"/>
      <c r="AB16" s="127"/>
      <c r="AC16" s="127"/>
      <c r="AD16" s="127"/>
      <c r="AE16" s="127"/>
      <c r="AF16" s="127"/>
      <c r="AG16" s="127"/>
      <c r="AH16" s="127"/>
      <c r="AI16" s="127"/>
      <c r="AJ16" s="127"/>
      <c r="AK16" s="127"/>
      <c r="AL16" s="127"/>
      <c r="AM16" s="127"/>
      <c r="AN16" s="127"/>
      <c r="AO16" s="2"/>
      <c r="AP16" s="2"/>
      <c r="AQ16" s="2"/>
      <c r="AR16" s="2"/>
      <c r="AS16" s="2"/>
      <c r="AT16" s="2"/>
      <c r="AU16" s="2"/>
      <c r="AV16" s="2"/>
      <c r="AW16" s="2"/>
      <c r="AY16" s="2"/>
      <c r="AZ16" s="2"/>
      <c r="BA16" s="2"/>
      <c r="BB16" s="2"/>
      <c r="BC16" s="2"/>
      <c r="BD16" s="2"/>
      <c r="BE16" s="2"/>
      <c r="BF16" s="2"/>
      <c r="BG16" s="2"/>
      <c r="BH16" s="2"/>
      <c r="BI16" s="2"/>
      <c r="BJ16" s="2"/>
      <c r="BK16" s="2"/>
    </row>
    <row r="17" spans="2:63" x14ac:dyDescent="0.55000000000000004">
      <c r="B17" s="140" t="s">
        <v>151</v>
      </c>
      <c r="C17" s="2"/>
      <c r="D17" s="2"/>
      <c r="E17" s="2"/>
      <c r="F17" s="102">
        <v>0.02</v>
      </c>
      <c r="G17" s="104">
        <v>0.01</v>
      </c>
      <c r="N17" s="2"/>
      <c r="O17" s="2"/>
      <c r="P17" s="2"/>
      <c r="Q17" s="2"/>
      <c r="S17" s="2"/>
      <c r="T17" s="2"/>
      <c r="U17" s="2"/>
      <c r="V17" s="2"/>
      <c r="W17" s="2"/>
      <c r="X17" s="2"/>
      <c r="Y17" s="2"/>
      <c r="Z17" s="2"/>
      <c r="AA17" s="127"/>
      <c r="AB17" s="127"/>
      <c r="AC17" s="127"/>
      <c r="AD17" s="127"/>
      <c r="AE17" s="127"/>
      <c r="AF17" s="127"/>
      <c r="AG17" s="127"/>
      <c r="AH17" s="127"/>
      <c r="AI17" s="127"/>
      <c r="AJ17" s="127"/>
      <c r="AK17" s="127"/>
      <c r="AL17" s="127"/>
      <c r="AM17" s="127"/>
      <c r="AN17" s="127"/>
      <c r="AO17" s="2"/>
      <c r="AP17" s="2"/>
      <c r="AQ17" s="2"/>
      <c r="AR17" s="2"/>
      <c r="AS17" s="2"/>
      <c r="AT17" s="2"/>
      <c r="AU17" s="2"/>
      <c r="AV17" s="2"/>
      <c r="AW17" s="2"/>
      <c r="AY17" s="2"/>
      <c r="AZ17" s="2"/>
      <c r="BA17" s="2"/>
      <c r="BB17" s="2"/>
      <c r="BC17" s="2"/>
      <c r="BD17" s="2"/>
      <c r="BE17" s="2"/>
      <c r="BF17" s="2"/>
      <c r="BG17" s="2"/>
      <c r="BH17" s="2"/>
      <c r="BI17" s="2"/>
      <c r="BJ17" s="2"/>
      <c r="BK17" s="2"/>
    </row>
    <row r="18" spans="2:63" x14ac:dyDescent="0.55000000000000004">
      <c r="B18" s="140" t="s">
        <v>376</v>
      </c>
      <c r="F18" s="102">
        <v>0.01</v>
      </c>
      <c r="G18" s="102">
        <v>5.0000000000000001E-3</v>
      </c>
      <c r="N18" s="2"/>
      <c r="O18" s="2"/>
      <c r="P18" s="2"/>
      <c r="Q18" s="2"/>
      <c r="S18" s="2"/>
      <c r="T18" s="2"/>
      <c r="U18" s="2"/>
      <c r="V18" s="2"/>
      <c r="W18" s="2"/>
      <c r="X18" s="2"/>
      <c r="Y18" s="2"/>
      <c r="Z18" s="2"/>
      <c r="AA18" s="127"/>
      <c r="AB18" s="127"/>
      <c r="AC18" s="127"/>
      <c r="AD18" s="127"/>
      <c r="AE18" s="127"/>
      <c r="AF18" s="127"/>
      <c r="AG18" s="127"/>
      <c r="AH18" s="127"/>
      <c r="AI18" s="127"/>
      <c r="AJ18" s="127"/>
      <c r="AK18" s="127"/>
      <c r="AL18" s="127"/>
      <c r="AM18" s="127"/>
      <c r="AN18" s="127"/>
      <c r="AO18" s="2"/>
      <c r="AP18" s="2"/>
      <c r="AQ18" s="2"/>
      <c r="AR18" s="2"/>
      <c r="AS18" s="2"/>
      <c r="AT18" s="2"/>
      <c r="AU18" s="2"/>
      <c r="AV18" s="2"/>
      <c r="AW18" s="2"/>
      <c r="AY18" s="2"/>
      <c r="AZ18" s="2"/>
      <c r="BA18" s="2"/>
      <c r="BB18" s="2"/>
      <c r="BC18" s="2"/>
      <c r="BD18" s="2"/>
      <c r="BE18" s="2"/>
      <c r="BF18" s="2"/>
      <c r="BG18" s="2"/>
      <c r="BH18" s="2"/>
      <c r="BI18" s="2"/>
      <c r="BJ18" s="2"/>
      <c r="BK18" s="2"/>
    </row>
    <row r="19" spans="2:63" x14ac:dyDescent="0.55000000000000004">
      <c r="B19" s="140" t="s">
        <v>117</v>
      </c>
      <c r="C19" s="2"/>
      <c r="D19" s="2"/>
      <c r="E19" s="2"/>
      <c r="F19" s="102">
        <v>0.2</v>
      </c>
      <c r="G19" s="102">
        <v>0.1</v>
      </c>
      <c r="N19" s="2"/>
      <c r="O19" s="2"/>
      <c r="P19" s="2"/>
      <c r="Q19" s="2"/>
      <c r="S19" s="2"/>
      <c r="T19" s="2"/>
      <c r="U19" s="2"/>
      <c r="V19" s="2"/>
      <c r="W19" s="2"/>
      <c r="X19" s="2"/>
      <c r="Y19" s="2"/>
      <c r="Z19" s="2"/>
      <c r="AA19" s="127"/>
      <c r="AB19" s="127"/>
      <c r="AC19" s="127"/>
      <c r="AD19" s="127"/>
      <c r="AE19" s="127"/>
      <c r="AF19" s="127"/>
      <c r="AG19" s="127"/>
      <c r="AH19" s="127"/>
      <c r="AI19" s="127"/>
      <c r="AJ19" s="127"/>
      <c r="AK19" s="127"/>
      <c r="AL19" s="127"/>
      <c r="AM19" s="127"/>
      <c r="AN19" s="127"/>
      <c r="AO19" s="2"/>
      <c r="AP19" s="2"/>
      <c r="AQ19" s="2"/>
      <c r="AR19" s="2"/>
      <c r="AS19" s="2"/>
      <c r="AT19" s="2"/>
      <c r="AU19" s="2"/>
      <c r="AV19" s="2"/>
      <c r="AW19" s="2"/>
      <c r="AY19" s="2"/>
      <c r="AZ19" s="2"/>
      <c r="BA19" s="2"/>
      <c r="BB19" s="2"/>
      <c r="BC19" s="2"/>
      <c r="BD19" s="2"/>
      <c r="BE19" s="2"/>
      <c r="BF19" s="2"/>
      <c r="BG19" s="2"/>
      <c r="BH19" s="2"/>
      <c r="BI19" s="2"/>
      <c r="BJ19" s="2"/>
      <c r="BK19" s="2"/>
    </row>
    <row r="20" spans="2:63" x14ac:dyDescent="0.55000000000000004">
      <c r="B20" s="140"/>
      <c r="C20" s="2"/>
      <c r="D20" s="2"/>
      <c r="E20" s="2"/>
      <c r="F20" s="97"/>
      <c r="G20" s="97"/>
      <c r="H20" s="97"/>
      <c r="N20" s="2"/>
      <c r="O20" s="2"/>
      <c r="P20" s="2"/>
      <c r="Q20" s="2"/>
      <c r="S20" s="2"/>
      <c r="T20" s="2"/>
      <c r="U20" s="2"/>
      <c r="V20" s="2"/>
      <c r="W20" s="2"/>
      <c r="X20" s="2"/>
      <c r="Y20" s="2"/>
      <c r="Z20" s="2"/>
      <c r="AA20" s="127"/>
      <c r="AB20" s="127"/>
      <c r="AC20" s="127"/>
      <c r="AD20" s="127"/>
      <c r="AE20" s="127"/>
      <c r="AF20" s="127"/>
      <c r="AG20" s="127"/>
      <c r="AH20" s="127"/>
      <c r="AI20" s="127"/>
      <c r="AJ20" s="127"/>
      <c r="AK20" s="127"/>
      <c r="AL20" s="127"/>
      <c r="AM20" s="127"/>
      <c r="AN20" s="127"/>
      <c r="AO20" s="2"/>
      <c r="AP20" s="2"/>
      <c r="AQ20" s="2"/>
      <c r="AR20" s="2"/>
      <c r="AS20" s="2"/>
      <c r="AT20" s="2"/>
      <c r="AU20" s="2"/>
      <c r="AV20" s="2"/>
      <c r="AW20" s="2"/>
      <c r="AY20" s="2"/>
      <c r="AZ20" s="2"/>
      <c r="BA20" s="2"/>
      <c r="BB20" s="2"/>
      <c r="BC20" s="2"/>
      <c r="BD20" s="2"/>
      <c r="BE20" s="2"/>
      <c r="BF20" s="2"/>
      <c r="BG20" s="2"/>
      <c r="BH20" s="2"/>
      <c r="BI20" s="2"/>
      <c r="BJ20" s="2"/>
      <c r="BK20" s="2"/>
    </row>
    <row r="21" spans="2:63" x14ac:dyDescent="0.55000000000000004">
      <c r="B21" s="140" t="s">
        <v>410</v>
      </c>
      <c r="C21" s="2"/>
      <c r="D21" s="2"/>
      <c r="E21" s="2"/>
      <c r="F21" s="103">
        <v>9000000</v>
      </c>
      <c r="H21" s="97"/>
      <c r="N21" s="2"/>
      <c r="O21" s="2"/>
      <c r="P21" s="2"/>
      <c r="Q21" s="2"/>
      <c r="S21" s="2"/>
      <c r="T21" s="2"/>
      <c r="U21" s="2"/>
      <c r="V21" s="2"/>
      <c r="W21" s="2"/>
      <c r="X21" s="2"/>
      <c r="Y21" s="2"/>
      <c r="Z21" s="2"/>
      <c r="AA21" s="127"/>
      <c r="AB21" s="127"/>
      <c r="AC21" s="127"/>
      <c r="AD21" s="127"/>
      <c r="AE21" s="127"/>
      <c r="AF21" s="127"/>
      <c r="AG21" s="127"/>
      <c r="AH21" s="127"/>
      <c r="AI21" s="127"/>
      <c r="AJ21" s="127"/>
      <c r="AK21" s="127"/>
      <c r="AL21" s="127"/>
      <c r="AM21" s="127"/>
      <c r="AN21" s="127"/>
      <c r="AO21" s="2"/>
      <c r="AP21" s="2"/>
      <c r="AQ21" s="2"/>
      <c r="AR21" s="2"/>
      <c r="AS21" s="2"/>
      <c r="AT21" s="2"/>
      <c r="AU21" s="2"/>
      <c r="AV21" s="2"/>
      <c r="AW21" s="2"/>
      <c r="AX21" s="2"/>
      <c r="AY21" s="2"/>
      <c r="AZ21" s="2"/>
      <c r="BA21" s="2"/>
      <c r="BB21" s="2"/>
      <c r="BC21" s="2"/>
      <c r="BD21" s="2"/>
      <c r="BE21" s="2"/>
      <c r="BF21" s="2"/>
      <c r="BG21" s="2"/>
      <c r="BH21" s="2"/>
      <c r="BI21" s="2"/>
      <c r="BJ21" s="2"/>
      <c r="BK21" s="2"/>
    </row>
    <row r="22" spans="2:63" x14ac:dyDescent="0.55000000000000004">
      <c r="B22" s="140" t="s">
        <v>411</v>
      </c>
      <c r="C22" s="2"/>
      <c r="D22" s="2"/>
      <c r="E22" s="2"/>
      <c r="F22" s="103" t="s">
        <v>66</v>
      </c>
      <c r="H22" s="97"/>
      <c r="N22" s="2"/>
      <c r="O22" s="2"/>
      <c r="P22" s="2"/>
      <c r="Q22" s="2"/>
      <c r="S22" s="2"/>
      <c r="T22" s="2"/>
      <c r="U22" s="2"/>
      <c r="V22" s="2"/>
      <c r="W22" s="2"/>
      <c r="X22" s="2"/>
      <c r="Y22" s="2"/>
      <c r="Z22" s="2"/>
      <c r="AA22" s="127"/>
      <c r="AB22" s="127"/>
      <c r="AC22" s="127"/>
      <c r="AD22" s="127"/>
      <c r="AE22" s="127"/>
      <c r="AF22" s="127"/>
      <c r="AG22" s="127"/>
      <c r="AH22" s="127"/>
      <c r="AI22" s="127"/>
      <c r="AJ22" s="127"/>
      <c r="AK22" s="127"/>
      <c r="AL22" s="127"/>
      <c r="AM22" s="127"/>
      <c r="AN22" s="127"/>
      <c r="AO22" s="2"/>
      <c r="AP22" s="2"/>
      <c r="AQ22" s="2"/>
      <c r="AR22" s="2"/>
      <c r="AS22" s="2"/>
      <c r="AT22" s="2"/>
      <c r="AU22" s="2"/>
      <c r="AV22" s="2"/>
      <c r="AW22" s="2"/>
      <c r="AX22" s="2"/>
      <c r="AY22" s="2"/>
      <c r="AZ22" s="2"/>
      <c r="BA22" s="2"/>
      <c r="BB22" s="2"/>
      <c r="BC22" s="2"/>
      <c r="BD22" s="2"/>
      <c r="BE22" s="2"/>
      <c r="BF22" s="2"/>
      <c r="BG22" s="2"/>
      <c r="BH22" s="2"/>
      <c r="BI22" s="2"/>
      <c r="BJ22" s="2"/>
      <c r="BK22" s="2"/>
    </row>
    <row r="23" spans="2:63" x14ac:dyDescent="0.55000000000000004">
      <c r="B23" s="140" t="s">
        <v>163</v>
      </c>
      <c r="C23" s="2"/>
      <c r="D23" s="2"/>
      <c r="E23" s="2"/>
      <c r="F23" s="101" t="s">
        <v>118</v>
      </c>
      <c r="N23" s="2"/>
      <c r="O23" s="2"/>
      <c r="P23" s="2"/>
      <c r="Q23" s="2"/>
      <c r="S23" s="2"/>
      <c r="T23" s="2"/>
      <c r="U23" s="2"/>
      <c r="V23" s="2"/>
      <c r="W23" s="2"/>
      <c r="X23" s="2"/>
      <c r="Y23" s="2"/>
      <c r="Z23" s="2"/>
      <c r="AA23" s="127"/>
      <c r="AB23" s="127"/>
      <c r="AC23" s="127"/>
      <c r="AD23" s="127"/>
      <c r="AE23" s="127"/>
      <c r="AF23" s="127"/>
      <c r="AG23" s="127"/>
      <c r="AH23" s="127"/>
      <c r="AI23" s="127"/>
      <c r="AJ23" s="127"/>
      <c r="AK23" s="127"/>
      <c r="AL23" s="127"/>
      <c r="AM23" s="127"/>
      <c r="AN23" s="127"/>
      <c r="AO23" s="2"/>
      <c r="AP23" s="2"/>
      <c r="AQ23" s="2"/>
      <c r="AR23" s="2"/>
      <c r="AS23" s="2"/>
      <c r="AT23" s="2"/>
      <c r="AU23" s="2"/>
      <c r="AV23" s="2"/>
      <c r="AW23" s="2"/>
      <c r="AX23" s="2"/>
      <c r="AY23" s="2"/>
      <c r="AZ23" s="2"/>
      <c r="BA23" s="2"/>
      <c r="BB23" s="2"/>
      <c r="BC23" s="2"/>
      <c r="BD23" s="2"/>
      <c r="BE23" s="2"/>
      <c r="BF23" s="2"/>
      <c r="BG23" s="2"/>
      <c r="BH23" s="2"/>
      <c r="BI23" s="2"/>
      <c r="BJ23" s="2"/>
      <c r="BK23" s="2"/>
    </row>
    <row r="24" spans="2:63" x14ac:dyDescent="0.55000000000000004">
      <c r="B24" s="140" t="s">
        <v>161</v>
      </c>
      <c r="F24" s="101" t="s">
        <v>118</v>
      </c>
      <c r="N24" s="2"/>
      <c r="O24" s="2"/>
      <c r="P24" s="2"/>
      <c r="Q24" s="2"/>
      <c r="S24" s="2"/>
      <c r="T24" s="2"/>
      <c r="U24" s="2"/>
      <c r="V24" s="2"/>
      <c r="W24" s="2"/>
      <c r="X24" s="2"/>
      <c r="Y24" s="2"/>
      <c r="Z24" s="2"/>
      <c r="AA24" s="127"/>
      <c r="AB24" s="127"/>
      <c r="AC24" s="127"/>
      <c r="AD24" s="127"/>
      <c r="AE24" s="127"/>
      <c r="AF24" s="127"/>
      <c r="AG24" s="127"/>
      <c r="AH24" s="127"/>
      <c r="AI24" s="127"/>
      <c r="AJ24" s="127"/>
      <c r="AK24" s="127"/>
      <c r="AL24" s="127"/>
      <c r="AM24" s="127"/>
      <c r="AN24" s="127"/>
      <c r="AO24" s="2"/>
      <c r="AP24" s="2"/>
      <c r="AQ24" s="2"/>
      <c r="AR24" s="2"/>
      <c r="AS24" s="2"/>
      <c r="AT24" s="2"/>
      <c r="AU24" s="2"/>
      <c r="AV24" s="2"/>
      <c r="AW24" s="2"/>
      <c r="AX24" s="2"/>
      <c r="AY24" s="2"/>
      <c r="AZ24" s="2"/>
      <c r="BA24" s="2"/>
      <c r="BB24" s="2"/>
      <c r="BC24" s="2"/>
      <c r="BD24" s="2"/>
      <c r="BE24" s="2"/>
      <c r="BF24" s="2"/>
      <c r="BG24" s="2"/>
      <c r="BH24" s="2"/>
      <c r="BI24" s="2"/>
      <c r="BJ24" s="2"/>
      <c r="BK24" s="2"/>
    </row>
    <row r="25" spans="2:63" x14ac:dyDescent="0.55000000000000004">
      <c r="B25" s="140" t="s">
        <v>377</v>
      </c>
      <c r="C25" s="2"/>
      <c r="D25" s="2"/>
      <c r="E25" s="2"/>
      <c r="F25" s="101" t="s">
        <v>118</v>
      </c>
      <c r="N25" s="2"/>
      <c r="O25" s="2"/>
      <c r="P25" s="2"/>
      <c r="Q25" s="2"/>
      <c r="S25" s="2"/>
      <c r="T25" s="2"/>
      <c r="U25" s="2"/>
      <c r="V25" s="2"/>
      <c r="W25" s="2"/>
      <c r="X25" s="2"/>
      <c r="Y25" s="2"/>
      <c r="Z25" s="2"/>
      <c r="AA25" s="127"/>
      <c r="AB25" s="127"/>
      <c r="AC25" s="127"/>
      <c r="AD25" s="127"/>
      <c r="AE25" s="127"/>
      <c r="AF25" s="127"/>
      <c r="AG25" s="127"/>
      <c r="AH25" s="127"/>
      <c r="AI25" s="127"/>
      <c r="AJ25" s="127"/>
      <c r="AK25" s="127"/>
      <c r="AL25" s="127"/>
      <c r="AM25" s="127"/>
      <c r="AN25" s="127"/>
      <c r="AO25" s="2"/>
      <c r="AP25" s="2"/>
      <c r="AQ25" s="2"/>
      <c r="AR25" s="2"/>
      <c r="AS25" s="2"/>
      <c r="AT25" s="2"/>
      <c r="AU25" s="2"/>
      <c r="AV25" s="2"/>
      <c r="AW25" s="2"/>
      <c r="AX25" s="2"/>
      <c r="AY25" s="2"/>
      <c r="AZ25" s="2"/>
      <c r="BA25" s="2"/>
      <c r="BB25" s="2"/>
      <c r="BC25" s="2"/>
      <c r="BD25" s="2"/>
      <c r="BE25" s="2"/>
      <c r="BF25" s="2"/>
      <c r="BG25" s="2"/>
      <c r="BH25" s="2"/>
      <c r="BI25" s="2"/>
      <c r="BJ25" s="2"/>
      <c r="BK25" s="2"/>
    </row>
    <row r="26" spans="2:63" x14ac:dyDescent="0.55000000000000004">
      <c r="B26" s="140" t="s">
        <v>434</v>
      </c>
      <c r="C26" s="2"/>
      <c r="D26" s="2"/>
      <c r="E26" s="2"/>
      <c r="F26" s="101" t="s">
        <v>122</v>
      </c>
      <c r="H26" s="105"/>
      <c r="N26" s="2"/>
      <c r="O26" s="2"/>
      <c r="P26" s="2"/>
      <c r="Q26" s="2"/>
      <c r="S26" s="2"/>
      <c r="T26" s="2"/>
      <c r="U26" s="2"/>
      <c r="V26" s="2"/>
      <c r="W26" s="2"/>
      <c r="X26" s="2"/>
      <c r="Y26" s="2"/>
      <c r="Z26" s="2"/>
      <c r="AA26" s="127"/>
      <c r="AB26" s="127"/>
      <c r="AC26" s="127"/>
      <c r="AD26" s="127"/>
      <c r="AE26" s="127"/>
      <c r="AF26" s="127"/>
      <c r="AG26" s="127"/>
      <c r="AH26" s="127"/>
      <c r="AI26" s="127"/>
      <c r="AJ26" s="127"/>
      <c r="AK26" s="127"/>
      <c r="AL26" s="127"/>
      <c r="AM26" s="127"/>
      <c r="AN26" s="127"/>
      <c r="AO26" s="2"/>
      <c r="AP26" s="2"/>
      <c r="AQ26" s="2"/>
      <c r="AR26" s="2"/>
      <c r="AS26" s="2"/>
      <c r="AT26" s="2"/>
      <c r="AU26" s="2"/>
      <c r="AV26" s="2"/>
      <c r="AW26" s="2"/>
      <c r="AX26" s="2"/>
      <c r="AY26" s="2"/>
      <c r="AZ26" s="2"/>
      <c r="BA26" s="2"/>
      <c r="BB26" s="2"/>
      <c r="BC26" s="2"/>
      <c r="BD26" s="2"/>
      <c r="BE26" s="2"/>
      <c r="BF26" s="2"/>
      <c r="BG26" s="2"/>
      <c r="BH26" s="2"/>
      <c r="BI26" s="2"/>
      <c r="BJ26" s="2"/>
      <c r="BK26" s="2"/>
    </row>
    <row r="27" spans="2:63" x14ac:dyDescent="0.55000000000000004">
      <c r="B27" s="140" t="s">
        <v>131</v>
      </c>
      <c r="C27" s="2"/>
      <c r="D27" s="2"/>
      <c r="E27" s="2"/>
      <c r="F27" s="101" t="s">
        <v>118</v>
      </c>
      <c r="H27" s="105"/>
      <c r="N27" s="2"/>
      <c r="O27" s="2"/>
      <c r="P27" s="2"/>
      <c r="Q27" s="2"/>
      <c r="S27" s="2"/>
      <c r="T27" s="2"/>
      <c r="U27" s="2"/>
      <c r="V27" s="2"/>
      <c r="W27" s="2"/>
      <c r="X27" s="2"/>
      <c r="Y27" s="2"/>
      <c r="Z27" s="2"/>
      <c r="AA27" s="127"/>
      <c r="AB27" s="127"/>
      <c r="AC27" s="127"/>
      <c r="AD27" s="127"/>
      <c r="AE27" s="127"/>
      <c r="AF27" s="127"/>
      <c r="AG27" s="127"/>
      <c r="AH27" s="127"/>
      <c r="AI27" s="127"/>
      <c r="AJ27" s="127"/>
      <c r="AK27" s="127"/>
      <c r="AL27" s="127"/>
      <c r="AM27" s="127"/>
      <c r="AN27" s="127"/>
      <c r="AO27" s="2"/>
      <c r="AP27" s="2"/>
      <c r="AQ27" s="2"/>
      <c r="AR27" s="2"/>
      <c r="AS27" s="2"/>
      <c r="AT27" s="2"/>
      <c r="AU27" s="2"/>
      <c r="AV27" s="2"/>
      <c r="AW27" s="2"/>
      <c r="AX27" s="2"/>
      <c r="AY27" s="2"/>
      <c r="AZ27" s="2"/>
      <c r="BA27" s="2"/>
      <c r="BB27" s="2"/>
      <c r="BC27" s="2"/>
      <c r="BD27" s="2"/>
      <c r="BE27" s="2"/>
      <c r="BF27" s="2"/>
      <c r="BG27" s="2"/>
      <c r="BH27" s="2"/>
      <c r="BI27" s="2"/>
      <c r="BJ27" s="2"/>
      <c r="BK27" s="2"/>
    </row>
    <row r="28" spans="2:63" x14ac:dyDescent="0.55000000000000004">
      <c r="B28" s="140" t="s">
        <v>132</v>
      </c>
      <c r="C28" s="2"/>
      <c r="D28" s="2"/>
      <c r="E28" s="2"/>
      <c r="F28" s="101" t="s">
        <v>122</v>
      </c>
      <c r="H28" s="105"/>
      <c r="N28" s="2"/>
      <c r="O28" s="2"/>
      <c r="P28" s="2"/>
      <c r="Q28" s="2"/>
      <c r="S28" s="2"/>
      <c r="T28" s="2"/>
      <c r="U28" s="2"/>
      <c r="V28" s="2"/>
      <c r="W28" s="2"/>
      <c r="X28" s="2"/>
      <c r="Y28" s="2"/>
      <c r="Z28" s="2"/>
      <c r="AA28" s="127"/>
      <c r="AB28" s="127"/>
      <c r="AC28" s="127"/>
      <c r="AD28" s="127"/>
      <c r="AE28" s="127"/>
      <c r="AF28" s="127"/>
      <c r="AG28" s="127"/>
      <c r="AH28" s="127"/>
      <c r="AI28" s="127"/>
      <c r="AJ28" s="127"/>
      <c r="AK28" s="127"/>
      <c r="AL28" s="127"/>
      <c r="AM28" s="127"/>
      <c r="AN28" s="127"/>
      <c r="AO28" s="2"/>
      <c r="AP28" s="2"/>
      <c r="AQ28" s="2"/>
      <c r="AR28" s="2"/>
      <c r="AS28" s="2"/>
      <c r="AT28" s="2"/>
      <c r="AU28" s="2"/>
      <c r="AV28" s="2"/>
      <c r="AW28" s="2"/>
      <c r="AX28" s="2"/>
      <c r="AY28" s="2"/>
      <c r="AZ28" s="2"/>
      <c r="BA28" s="2"/>
      <c r="BB28" s="2"/>
      <c r="BC28" s="2"/>
      <c r="BD28" s="2"/>
      <c r="BE28" s="2"/>
      <c r="BF28" s="2"/>
      <c r="BG28" s="2"/>
      <c r="BH28" s="2"/>
      <c r="BI28" s="2"/>
      <c r="BJ28" s="2"/>
      <c r="BK28" s="2"/>
    </row>
    <row r="29" spans="2:63" x14ac:dyDescent="0.55000000000000004">
      <c r="B29" s="140" t="s">
        <v>387</v>
      </c>
      <c r="C29" s="2"/>
      <c r="D29" s="2"/>
      <c r="E29" s="2"/>
      <c r="F29" s="130" t="s">
        <v>118</v>
      </c>
      <c r="H29" s="105"/>
      <c r="N29" s="2"/>
      <c r="O29" s="2"/>
      <c r="P29" s="2"/>
      <c r="Q29" s="2"/>
      <c r="S29" s="2"/>
      <c r="T29" s="2"/>
      <c r="U29" s="2"/>
      <c r="V29" s="2"/>
      <c r="W29" s="2"/>
      <c r="X29" s="2"/>
      <c r="Y29" s="2"/>
      <c r="Z29" s="2"/>
      <c r="AA29" s="127"/>
      <c r="AB29" s="127"/>
      <c r="AC29" s="127"/>
      <c r="AD29" s="127"/>
      <c r="AE29" s="127"/>
      <c r="AF29" s="127"/>
      <c r="AG29" s="127"/>
      <c r="AH29" s="127"/>
      <c r="AI29" s="127"/>
      <c r="AJ29" s="127"/>
      <c r="AK29" s="127"/>
      <c r="AL29" s="127"/>
      <c r="AM29" s="127"/>
      <c r="AN29" s="127"/>
      <c r="AO29" s="2"/>
      <c r="AP29" s="2"/>
      <c r="AQ29" s="2"/>
      <c r="AR29" s="2"/>
      <c r="AS29" s="2"/>
      <c r="AT29" s="2"/>
      <c r="AU29" s="2"/>
      <c r="AV29" s="2"/>
      <c r="AW29" s="2"/>
      <c r="AX29" s="2"/>
      <c r="AY29" s="2"/>
      <c r="AZ29" s="2"/>
      <c r="BA29" s="2"/>
      <c r="BB29" s="2"/>
      <c r="BC29" s="2"/>
      <c r="BD29" s="2"/>
      <c r="BE29" s="2"/>
      <c r="BF29" s="2"/>
      <c r="BG29" s="2"/>
      <c r="BH29" s="2"/>
      <c r="BI29" s="2"/>
      <c r="BJ29" s="2"/>
      <c r="BK29" s="2"/>
    </row>
    <row r="30" spans="2:63" x14ac:dyDescent="0.55000000000000004">
      <c r="H30" s="105"/>
      <c r="J30" s="2"/>
      <c r="K30" s="2"/>
      <c r="N30" s="2"/>
      <c r="O30" s="2"/>
      <c r="P30" s="2"/>
      <c r="Q30" s="2"/>
      <c r="S30" s="2"/>
      <c r="T30" s="2"/>
      <c r="U30" s="2"/>
      <c r="V30" s="2"/>
      <c r="W30" s="2"/>
      <c r="X30" s="2"/>
      <c r="Y30" s="2"/>
      <c r="Z30" s="2"/>
      <c r="AA30" s="22"/>
      <c r="AB30" s="2"/>
      <c r="AC30" s="2"/>
      <c r="AD30" s="2"/>
      <c r="AE30" s="2"/>
      <c r="AF30" s="2"/>
      <c r="AG30" s="21"/>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row>
    <row r="31" spans="2:63" x14ac:dyDescent="0.55000000000000004">
      <c r="H31" s="105"/>
      <c r="J31" s="2"/>
      <c r="K31" s="2"/>
      <c r="N31" s="2"/>
      <c r="O31" s="2"/>
      <c r="P31" s="2"/>
      <c r="Q31" s="2"/>
      <c r="S31" s="2"/>
      <c r="T31" s="2"/>
      <c r="U31" s="2"/>
      <c r="V31" s="2"/>
      <c r="W31" s="2"/>
      <c r="X31" s="2"/>
      <c r="Y31" s="2"/>
      <c r="Z31" s="2"/>
      <c r="AA31" s="22"/>
      <c r="AB31" s="2"/>
      <c r="AC31" s="2"/>
      <c r="AD31" s="2"/>
      <c r="AE31" s="2"/>
      <c r="AF31" s="2"/>
      <c r="AG31" s="21"/>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row>
    <row r="32" spans="2:63" x14ac:dyDescent="0.55000000000000004">
      <c r="H32" s="105"/>
      <c r="J32" s="2"/>
      <c r="K32" s="2"/>
      <c r="N32" s="2"/>
      <c r="O32" s="2"/>
      <c r="P32" s="2"/>
      <c r="Q32" s="2"/>
      <c r="S32" s="2"/>
      <c r="T32" s="2"/>
      <c r="U32" s="2"/>
      <c r="V32" s="2"/>
      <c r="W32" s="2"/>
      <c r="X32" s="2"/>
      <c r="Y32" s="2"/>
      <c r="Z32" s="2"/>
      <c r="AA32" s="22"/>
      <c r="AB32" s="2"/>
      <c r="AC32" s="2"/>
      <c r="AD32" s="2"/>
      <c r="AE32" s="2"/>
      <c r="AF32" s="2"/>
      <c r="AG32" s="21"/>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row>
    <row r="33" spans="1:63" x14ac:dyDescent="0.55000000000000004">
      <c r="H33" s="105"/>
      <c r="J33" s="2"/>
      <c r="K33" s="2"/>
      <c r="N33" s="2"/>
      <c r="O33" s="2"/>
      <c r="P33" s="2"/>
      <c r="Q33" s="2"/>
      <c r="S33" s="2"/>
      <c r="T33" s="2"/>
      <c r="U33" s="2"/>
      <c r="V33" s="2"/>
      <c r="W33" s="2"/>
      <c r="X33" s="2"/>
      <c r="Y33" s="2"/>
      <c r="Z33" s="2"/>
      <c r="AA33" s="22"/>
      <c r="AB33" s="2"/>
      <c r="AC33" s="2"/>
      <c r="AD33" s="2"/>
      <c r="AE33" s="2"/>
      <c r="AF33" s="2"/>
      <c r="AG33" s="21"/>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row>
    <row r="34" spans="1:63" ht="18.3" x14ac:dyDescent="0.55000000000000004">
      <c r="A34" s="2"/>
      <c r="B34" s="143" t="s">
        <v>164</v>
      </c>
      <c r="C34" s="107"/>
      <c r="D34" s="108"/>
      <c r="H34" s="105"/>
      <c r="J34" s="2"/>
      <c r="K34" s="2"/>
      <c r="N34" s="2"/>
      <c r="O34" s="2"/>
      <c r="P34" s="2"/>
      <c r="Q34" s="2"/>
      <c r="S34" s="2"/>
      <c r="T34" s="2"/>
      <c r="U34" s="2"/>
      <c r="V34" s="2"/>
      <c r="W34" s="2"/>
      <c r="X34" s="2"/>
      <c r="Y34" s="2"/>
      <c r="Z34" s="2"/>
      <c r="AA34" s="22"/>
      <c r="AB34" s="2"/>
      <c r="AC34" s="2"/>
      <c r="AD34" s="2"/>
      <c r="AE34" s="2"/>
      <c r="AF34" s="2"/>
      <c r="AG34" s="21"/>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row>
    <row r="35" spans="1:63" outlineLevel="1" x14ac:dyDescent="0.55000000000000004">
      <c r="D35" s="2"/>
      <c r="E35" s="2"/>
      <c r="F35" s="2"/>
      <c r="G35" s="2"/>
      <c r="H35" s="2"/>
      <c r="I35" s="2"/>
      <c r="J35" s="2"/>
      <c r="K35" s="2"/>
      <c r="L35" s="2"/>
      <c r="M35" s="2"/>
      <c r="N35" s="2"/>
      <c r="O35" s="2"/>
      <c r="P35" s="2"/>
      <c r="Q35" s="2"/>
      <c r="R35" s="2"/>
      <c r="S35" s="2"/>
      <c r="T35" s="2"/>
      <c r="U35" s="2"/>
      <c r="V35" s="2"/>
      <c r="W35" s="2"/>
      <c r="X35" s="45"/>
      <c r="Y35" s="46"/>
      <c r="Z35" s="2"/>
      <c r="AA35" s="2"/>
      <c r="AB35" s="2"/>
      <c r="AC35" s="2"/>
      <c r="AD35" s="2"/>
      <c r="AE35" s="2"/>
      <c r="AF35" s="2"/>
      <c r="AG35" s="21"/>
      <c r="AH35" s="2"/>
      <c r="AI35" s="2"/>
      <c r="AJ35" s="2"/>
      <c r="AK35" s="2"/>
      <c r="AL35" s="2"/>
    </row>
    <row r="36" spans="1:63" ht="19.899999999999999" customHeight="1" outlineLevel="1" x14ac:dyDescent="0.55000000000000004">
      <c r="B36" s="185" t="s">
        <v>67</v>
      </c>
      <c r="C36" s="185"/>
      <c r="D36" s="185"/>
      <c r="E36" s="2"/>
      <c r="F36" s="187" t="s">
        <v>127</v>
      </c>
      <c r="G36" s="187"/>
      <c r="H36" s="187"/>
      <c r="I36" s="2"/>
      <c r="J36" s="187" t="s">
        <v>69</v>
      </c>
      <c r="K36" s="187"/>
      <c r="L36" s="187"/>
      <c r="M36" s="187"/>
      <c r="N36" s="2"/>
      <c r="O36" s="187" t="s">
        <v>38</v>
      </c>
      <c r="P36" s="187"/>
      <c r="Q36" s="187"/>
      <c r="R36" s="187"/>
      <c r="S36" s="2"/>
      <c r="T36" s="190" t="s">
        <v>461</v>
      </c>
      <c r="U36" s="190"/>
      <c r="W36" s="189" t="s">
        <v>31</v>
      </c>
      <c r="X36" s="189"/>
      <c r="Y36" s="189"/>
      <c r="Z36" s="189"/>
      <c r="AA36" s="189"/>
      <c r="AB36" s="189"/>
      <c r="AC36" s="2"/>
      <c r="AD36" s="189" t="s">
        <v>32</v>
      </c>
      <c r="AE36" s="189"/>
      <c r="AF36" s="189"/>
      <c r="AG36" s="189"/>
      <c r="AH36" s="189"/>
      <c r="AI36" s="189"/>
      <c r="AJ36" s="21"/>
      <c r="AK36" s="189" t="s">
        <v>149</v>
      </c>
      <c r="AL36" s="189"/>
      <c r="AM36" s="19"/>
      <c r="AN36" s="189" t="s">
        <v>325</v>
      </c>
      <c r="AO36" s="189"/>
    </row>
    <row r="37" spans="1:63" ht="30.6" customHeight="1" outlineLevel="1" x14ac:dyDescent="0.55000000000000004">
      <c r="B37" s="145" t="s">
        <v>145</v>
      </c>
      <c r="C37" s="145" t="s">
        <v>10</v>
      </c>
      <c r="D37" s="78" t="s">
        <v>124</v>
      </c>
      <c r="E37" s="13"/>
      <c r="F37" s="82" t="s">
        <v>127</v>
      </c>
      <c r="G37" s="82" t="s">
        <v>153</v>
      </c>
      <c r="H37" s="86" t="s">
        <v>2</v>
      </c>
      <c r="I37" s="2"/>
      <c r="J37" s="88" t="s">
        <v>125</v>
      </c>
      <c r="K37" s="88" t="s">
        <v>36</v>
      </c>
      <c r="L37" s="48" t="s">
        <v>129</v>
      </c>
      <c r="M37" s="86" t="s">
        <v>2</v>
      </c>
      <c r="N37" s="13"/>
      <c r="O37" s="91" t="s">
        <v>126</v>
      </c>
      <c r="P37" s="91" t="s">
        <v>36</v>
      </c>
      <c r="Q37" s="92" t="s">
        <v>130</v>
      </c>
      <c r="R37" s="86" t="s">
        <v>2</v>
      </c>
      <c r="S37" s="55"/>
      <c r="T37" s="91" t="s">
        <v>154</v>
      </c>
      <c r="U37" s="91" t="s">
        <v>36</v>
      </c>
      <c r="W37" s="53" t="s">
        <v>12</v>
      </c>
      <c r="X37" s="53" t="s">
        <v>34</v>
      </c>
      <c r="Y37" s="53" t="s">
        <v>35</v>
      </c>
      <c r="Z37" s="53" t="s">
        <v>41</v>
      </c>
      <c r="AA37" s="56" t="s">
        <v>119</v>
      </c>
      <c r="AB37" s="53" t="s">
        <v>1</v>
      </c>
      <c r="AC37" s="55"/>
      <c r="AD37" s="53" t="s">
        <v>12</v>
      </c>
      <c r="AE37" s="53" t="s">
        <v>34</v>
      </c>
      <c r="AF37" s="53" t="s">
        <v>35</v>
      </c>
      <c r="AG37" s="56" t="s">
        <v>41</v>
      </c>
      <c r="AH37" s="56" t="s">
        <v>119</v>
      </c>
      <c r="AI37" s="53" t="s">
        <v>1</v>
      </c>
      <c r="AJ37" s="57"/>
      <c r="AK37" s="58" t="s">
        <v>3</v>
      </c>
      <c r="AL37" s="58" t="s">
        <v>0</v>
      </c>
      <c r="AM37" s="19"/>
      <c r="AN37" s="76" t="s">
        <v>45</v>
      </c>
      <c r="AO37" s="76" t="s">
        <v>146</v>
      </c>
      <c r="AP37" s="19"/>
      <c r="AQ37" s="19"/>
      <c r="AR37" s="19"/>
      <c r="AS37" s="19"/>
    </row>
    <row r="38" spans="1:63" s="19" customFormat="1" outlineLevel="1" x14ac:dyDescent="0.55000000000000004">
      <c r="B38" s="15" t="s">
        <v>169</v>
      </c>
      <c r="C38" s="15" t="s">
        <v>170</v>
      </c>
      <c r="D38" s="16" t="s">
        <v>171</v>
      </c>
      <c r="E38" s="20"/>
      <c r="F38" s="83" t="s">
        <v>172</v>
      </c>
      <c r="G38" s="83" t="s">
        <v>173</v>
      </c>
      <c r="H38" s="18" t="s">
        <v>174</v>
      </c>
      <c r="I38" s="23"/>
      <c r="J38" s="18" t="s">
        <v>175</v>
      </c>
      <c r="K38" s="18" t="s">
        <v>176</v>
      </c>
      <c r="L38" s="18" t="s">
        <v>180</v>
      </c>
      <c r="M38" s="17" t="s">
        <v>181</v>
      </c>
      <c r="N38" s="20"/>
      <c r="O38" s="17" t="s">
        <v>182</v>
      </c>
      <c r="P38" s="17" t="s">
        <v>183</v>
      </c>
      <c r="Q38" s="17" t="s">
        <v>184</v>
      </c>
      <c r="R38" s="142" t="s">
        <v>185</v>
      </c>
      <c r="S38" s="61"/>
      <c r="T38" s="17" t="s">
        <v>186</v>
      </c>
      <c r="U38" s="17" t="s">
        <v>187</v>
      </c>
      <c r="W38" s="60" t="s">
        <v>188</v>
      </c>
      <c r="X38" s="60" t="s">
        <v>189</v>
      </c>
      <c r="Y38" s="60" t="s">
        <v>190</v>
      </c>
      <c r="Z38" s="60" t="s">
        <v>191</v>
      </c>
      <c r="AA38" s="60" t="s">
        <v>192</v>
      </c>
      <c r="AB38" s="60" t="s">
        <v>193</v>
      </c>
      <c r="AC38" s="61"/>
      <c r="AD38" s="60" t="s">
        <v>194</v>
      </c>
      <c r="AE38" s="60" t="s">
        <v>195</v>
      </c>
      <c r="AF38" s="60" t="s">
        <v>196</v>
      </c>
      <c r="AG38" s="60" t="s">
        <v>197</v>
      </c>
      <c r="AH38" s="60" t="s">
        <v>198</v>
      </c>
      <c r="AI38" s="60" t="s">
        <v>199</v>
      </c>
      <c r="AJ38" s="62"/>
      <c r="AK38" s="60" t="s">
        <v>200</v>
      </c>
      <c r="AL38" s="60" t="s">
        <v>201</v>
      </c>
      <c r="AN38" s="60" t="s">
        <v>202</v>
      </c>
      <c r="AO38" s="60" t="s">
        <v>203</v>
      </c>
    </row>
    <row r="39" spans="1:63" outlineLevel="1" x14ac:dyDescent="0.55000000000000004">
      <c r="B39" s="1"/>
      <c r="C39" s="3">
        <v>0</v>
      </c>
      <c r="D39" s="87">
        <v>1</v>
      </c>
      <c r="E39" s="2"/>
      <c r="F39" s="84">
        <v>1</v>
      </c>
      <c r="G39" s="84"/>
      <c r="H39" s="5"/>
      <c r="I39" s="2"/>
      <c r="J39" s="2"/>
      <c r="K39" s="2"/>
      <c r="L39" s="55"/>
      <c r="M39" s="55"/>
      <c r="N39" s="2"/>
      <c r="O39" s="10"/>
      <c r="P39" s="10"/>
      <c r="Q39" s="49"/>
      <c r="R39" s="55"/>
      <c r="S39" s="55"/>
      <c r="T39" s="2"/>
      <c r="U39" s="2"/>
      <c r="W39" s="63">
        <f>IFERROR(IF(C39&gt;=$F$7*4,0,-IF($F$22="pattern",U40*$F$21,IF(AND($F$22="single",C39=0),$F$21,IF(AND($F$22="annual",MOD(C39,4)=0),$F$21/$F$7,IF(AND($F$22="semi-ann",MOD(C39,2)=0),$F$21/(2*$F$7),IF($F$22="quarterly",$F$21/(4*$F$7),0)))))*F39),0)</f>
        <v>-3000000</v>
      </c>
      <c r="X39" s="63"/>
      <c r="Y39" s="63"/>
      <c r="Z39" s="63">
        <f>-$F$13*$F$21</f>
        <v>-900000</v>
      </c>
      <c r="AA39" s="63"/>
      <c r="AB39" s="64">
        <f>SUM(W39:AA39)</f>
        <v>-3900000</v>
      </c>
      <c r="AC39" s="55"/>
      <c r="AD39" s="64">
        <f t="shared" ref="AD39:AD51" si="0">W39*$D39</f>
        <v>-3000000</v>
      </c>
      <c r="AE39" s="64"/>
      <c r="AF39" s="64"/>
      <c r="AG39" s="64">
        <f t="shared" ref="AG39:AG51" si="1">Z39*$D39</f>
        <v>-900000</v>
      </c>
      <c r="AH39" s="64"/>
      <c r="AI39" s="64">
        <f>SUM(AD39:AH39)</f>
        <v>-3900000</v>
      </c>
      <c r="AJ39" s="57"/>
      <c r="AK39" s="51">
        <f ca="1">SUM(AD39:AD$51,AG39:AG$51)/D39+SUM(AE40:AF$52,AH40:AH$51)/D39</f>
        <v>-5080009.5031540301</v>
      </c>
      <c r="AL39" s="51">
        <f>SUM(AE40:$AF$52)*$F$14/D39</f>
        <v>127316.57355093501</v>
      </c>
      <c r="AM39" s="19"/>
      <c r="AN39" s="51">
        <f ca="1">-SUM(AD39:$AD$52,AH39:$AH$52)/D39</f>
        <v>6726340.97417273</v>
      </c>
      <c r="AO39" s="51">
        <f ca="1">-SUM(W39:$W$52,AA39:$AA$52)</f>
        <v>6837420.3642934207</v>
      </c>
      <c r="AP39" s="19"/>
      <c r="AQ39" s="19"/>
      <c r="AR39" s="19"/>
      <c r="AS39" s="19"/>
    </row>
    <row r="40" spans="1:63" outlineLevel="1" x14ac:dyDescent="0.55000000000000004">
      <c r="A40" s="9"/>
      <c r="B40" s="1" t="s">
        <v>6</v>
      </c>
      <c r="C40" s="3">
        <v>1</v>
      </c>
      <c r="D40" s="87">
        <f t="shared" ref="D40:D51" si="2">D39/(1+$F$17)^(1/4)</f>
        <v>0.99506157747984325</v>
      </c>
      <c r="E40" s="4"/>
      <c r="F40" s="84">
        <f t="shared" ref="F40:F51" si="3">(1-$F$19)^(C40/4)</f>
        <v>0.94574160900317583</v>
      </c>
      <c r="G40" s="84">
        <f>AVERAGE(F39:F40)</f>
        <v>0.97287080450158792</v>
      </c>
      <c r="H40" s="84">
        <f>F40*D40</f>
        <v>0.94107113734302528</v>
      </c>
      <c r="I40" s="4"/>
      <c r="J40" s="98">
        <v>1</v>
      </c>
      <c r="K40" s="94">
        <f t="shared" ref="K40:K51" si="4">J40/$J$54</f>
        <v>8.3333333333333329E-2</v>
      </c>
      <c r="L40" s="47">
        <f>J40*G40</f>
        <v>0.97287080450158792</v>
      </c>
      <c r="M40" s="47">
        <f>L40*D40</f>
        <v>0.96806635741143421</v>
      </c>
      <c r="N40" s="4"/>
      <c r="O40" s="98">
        <v>1</v>
      </c>
      <c r="P40" s="94">
        <f t="shared" ref="P40:P51" si="5">O40/$O$54</f>
        <v>1.282051282051282E-2</v>
      </c>
      <c r="Q40" s="47">
        <f>O40*G40</f>
        <v>0.97287080450158792</v>
      </c>
      <c r="R40" s="47">
        <f>Q40*D40</f>
        <v>0.96806635741143421</v>
      </c>
      <c r="T40" s="137">
        <v>0.20282873599525819</v>
      </c>
      <c r="U40" s="135">
        <f>T40/$T$54</f>
        <v>0.20282873599525819</v>
      </c>
      <c r="W40" s="63">
        <f t="shared" ref="W40:W51" si="6">IFERROR(IF(C40&gt;=$F$7*4,0,-IF($F$22="pattern",U41*$F$21,IF(AND($F$22="single",C40=0),$F$21,IF(AND($F$22="annual",MOD(C40,4)=0),$F$21/$F$7,IF(AND($F$22="semi-ann",MOD(C40,2)=0),$F$21/(2*$F$7),IF($F$22="quarterly",$F$21/(4*$F$7),0)))))*F40),0)</f>
        <v>0</v>
      </c>
      <c r="X40" s="63">
        <f t="shared" ref="X40:X51" si="7">$F$21*$F$11*P40*((1+$F$18)^(C40/4))*F40</f>
        <v>65637.494866067049</v>
      </c>
      <c r="Y40" s="63">
        <f>-$F$21*$F$12*IF($F$28="risk",P40*F40,IF($F$28="policies IF",F40/($F$7*4),1/($F$7*4)))</f>
        <v>-16368.604771208811</v>
      </c>
      <c r="Z40" s="63">
        <v>0</v>
      </c>
      <c r="AA40" s="63">
        <f t="shared" ref="AA40:AA51" ca="1" si="8">IF($F$25="no",0,1)*(F40-F39)*OFFSET(W40,-IF($F$22="single",C40,IF($F$22="annual",MOD(C40,4),IF($F$22="semi-ann",MOD(C40,2),0))),0)*IF($F$22="single",($F$7*4-C40)/($F$7*4),IF(AND($F$22="annual",MOD(C40,4)&lt;&gt;0),(4-MOD(C40,4))/4,IF(AND($F$22="semi-ann",MOD(C40,2)&lt;&gt;0),0.5,0)))</f>
        <v>122081.37974285436</v>
      </c>
      <c r="AB40" s="64">
        <f t="shared" ref="AB40:AB51" ca="1" si="9">SUM(W40:AA40)</f>
        <v>171350.26983771261</v>
      </c>
      <c r="AC40" s="51"/>
      <c r="AD40" s="51">
        <f t="shared" si="0"/>
        <v>0</v>
      </c>
      <c r="AE40" s="64">
        <f t="shared" ref="AE40:AE51" si="10">X40*$D40</f>
        <v>65313.349183253791</v>
      </c>
      <c r="AF40" s="64">
        <f t="shared" ref="AF40:AF51" si="11">Y40*$D40</f>
        <v>-16287.769684783128</v>
      </c>
      <c r="AG40" s="51">
        <f t="shared" si="1"/>
        <v>0</v>
      </c>
      <c r="AH40" s="64">
        <f t="shared" ref="AH40:AH51" ca="1" si="12">AA40*$D40</f>
        <v>121478.49030784045</v>
      </c>
      <c r="AI40" s="64">
        <f t="shared" ref="AI40:AI51" ca="1" si="13">SUM(AD40:AH40)</f>
        <v>170504.0698063111</v>
      </c>
      <c r="AJ40" s="11"/>
      <c r="AK40" s="51">
        <f ca="1">SUM(AD40:AD$51,AG40:AG$51)/D40+SUM(AE41:AF$52,AH41:AH$51)/D40</f>
        <v>-1357216.0794116254</v>
      </c>
      <c r="AL40" s="51">
        <f>SUM(AE41:$AF$52)*$F$14/D40</f>
        <v>125484.99248886017</v>
      </c>
      <c r="AM40" s="19"/>
      <c r="AN40" s="51">
        <f ca="1">-SUM(AD40:$AD$52,AH40:$AH$52)/D40</f>
        <v>3744834.5494459746</v>
      </c>
      <c r="AO40" s="51">
        <f ca="1">-SUM(W40:$W$52,AA40:$AA$52)</f>
        <v>3837420.3642934207</v>
      </c>
      <c r="AP40" s="19"/>
      <c r="AQ40" s="126"/>
      <c r="AR40" s="19"/>
      <c r="AS40" s="19"/>
    </row>
    <row r="41" spans="1:63" outlineLevel="1" x14ac:dyDescent="0.55000000000000004">
      <c r="A41" s="9"/>
      <c r="B41" s="1" t="s">
        <v>7</v>
      </c>
      <c r="C41" s="3">
        <v>2</v>
      </c>
      <c r="D41" s="87">
        <f t="shared" si="2"/>
        <v>0.99014754297667418</v>
      </c>
      <c r="E41" s="4"/>
      <c r="F41" s="84">
        <f t="shared" si="3"/>
        <v>0.89442719099991586</v>
      </c>
      <c r="G41" s="84">
        <f t="shared" ref="G41:G51" si="14">AVERAGE(F40:F41)</f>
        <v>0.92008440000154579</v>
      </c>
      <c r="H41" s="84">
        <f t="shared" ref="H41:H51" si="15">F41*D41</f>
        <v>0.88561488554009515</v>
      </c>
      <c r="I41" s="4"/>
      <c r="J41" s="98">
        <v>1</v>
      </c>
      <c r="K41" s="94">
        <f t="shared" si="4"/>
        <v>8.3333333333333329E-2</v>
      </c>
      <c r="L41" s="47">
        <f t="shared" ref="L41:L51" si="16">J41*G41</f>
        <v>0.92008440000154579</v>
      </c>
      <c r="M41" s="47">
        <f t="shared" ref="M41:M51" si="17">L41*D41</f>
        <v>0.91101930799269804</v>
      </c>
      <c r="N41" s="4"/>
      <c r="O41" s="98">
        <v>2</v>
      </c>
      <c r="P41" s="94">
        <f t="shared" si="5"/>
        <v>2.564102564102564E-2</v>
      </c>
      <c r="Q41" s="47">
        <f t="shared" ref="Q41:Q51" si="18">O41*G41</f>
        <v>1.8401688000030916</v>
      </c>
      <c r="R41" s="47">
        <f t="shared" ref="R41:R51" si="19">Q41*D41</f>
        <v>1.8220386159853961</v>
      </c>
      <c r="S41" s="51"/>
      <c r="T41" s="137">
        <v>0.17818906429460918</v>
      </c>
      <c r="U41" s="135">
        <f t="shared" ref="U41:U51" si="20">T41/$T$54</f>
        <v>0.17818906429460918</v>
      </c>
      <c r="W41" s="63">
        <f t="shared" si="6"/>
        <v>0</v>
      </c>
      <c r="X41" s="63">
        <f t="shared" si="7"/>
        <v>124461.44337735267</v>
      </c>
      <c r="Y41" s="63">
        <f t="shared" ref="Y41:Y51" si="21">-$F$21*$F$12*IF($F$28="risk",P41*F41,IF($F$28="policies IF",F41/($F$7*4),1/($F$7*4)))</f>
        <v>-30960.94122692016</v>
      </c>
      <c r="Z41" s="63">
        <v>0</v>
      </c>
      <c r="AA41" s="63">
        <f t="shared" ca="1" si="8"/>
        <v>76971.627004889961</v>
      </c>
      <c r="AB41" s="64">
        <f t="shared" ca="1" si="9"/>
        <v>170472.12915532247</v>
      </c>
      <c r="AC41" s="51"/>
      <c r="AD41" s="51">
        <f t="shared" si="0"/>
        <v>0</v>
      </c>
      <c r="AE41" s="64">
        <f t="shared" si="10"/>
        <v>123235.19235541621</v>
      </c>
      <c r="AF41" s="64">
        <f t="shared" si="11"/>
        <v>-30655.899884080212</v>
      </c>
      <c r="AG41" s="51">
        <f t="shared" si="1"/>
        <v>0</v>
      </c>
      <c r="AH41" s="64">
        <f t="shared" ca="1" si="12"/>
        <v>76213.267357808814</v>
      </c>
      <c r="AI41" s="64">
        <f t="shared" ca="1" si="13"/>
        <v>168792.5598291448</v>
      </c>
      <c r="AJ41" s="57"/>
      <c r="AK41" s="51">
        <f ca="1">SUM(AD41:AD$51,AG41:AG$51)/D41+SUM(AE42:AF$52,AH42:AH$51)/D41</f>
        <v>-1534423.9790991205</v>
      </c>
      <c r="AL41" s="51">
        <f>SUM(AE42:$AF$52)*$F$14/D41</f>
        <v>121432.74081252475</v>
      </c>
      <c r="AM41" s="19"/>
      <c r="AN41" s="51">
        <f ca="1">-SUM(AD41:$AD$52,AH41:$AH$52)/D41</f>
        <v>3886107.1683447249</v>
      </c>
      <c r="AO41" s="51">
        <f ca="1">-SUM(W41:$W$52,AA41:$AA$52)</f>
        <v>3959501.744036275</v>
      </c>
      <c r="AP41" s="19"/>
      <c r="AQ41" s="126"/>
      <c r="AR41" s="19"/>
      <c r="AS41" s="19"/>
    </row>
    <row r="42" spans="1:63" outlineLevel="1" x14ac:dyDescent="0.55000000000000004">
      <c r="A42" s="9"/>
      <c r="B42" s="1" t="s">
        <v>8</v>
      </c>
      <c r="C42" s="3">
        <v>3</v>
      </c>
      <c r="D42" s="87">
        <f t="shared" si="2"/>
        <v>0.98525777605216036</v>
      </c>
      <c r="E42" s="4"/>
      <c r="F42" s="84">
        <f>(1-$F$19)^(C42/4)</f>
        <v>0.84589701075245127</v>
      </c>
      <c r="G42" s="84">
        <f t="shared" si="14"/>
        <v>0.87016210087618351</v>
      </c>
      <c r="H42" s="84">
        <f t="shared" si="15"/>
        <v>0.83342660758313047</v>
      </c>
      <c r="I42" s="4"/>
      <c r="J42" s="98">
        <v>1</v>
      </c>
      <c r="K42" s="94">
        <f t="shared" si="4"/>
        <v>8.3333333333333329E-2</v>
      </c>
      <c r="L42" s="47">
        <f t="shared" si="16"/>
        <v>0.87016210087618351</v>
      </c>
      <c r="M42" s="47">
        <f t="shared" si="17"/>
        <v>0.85733397631414421</v>
      </c>
      <c r="N42" s="4"/>
      <c r="O42" s="98">
        <v>3</v>
      </c>
      <c r="P42" s="94">
        <f t="shared" si="5"/>
        <v>3.8461538461538464E-2</v>
      </c>
      <c r="Q42" s="47">
        <f t="shared" si="18"/>
        <v>2.6104863026285505</v>
      </c>
      <c r="R42" s="47">
        <f t="shared" si="19"/>
        <v>2.5720019289424325</v>
      </c>
      <c r="S42" s="51"/>
      <c r="T42" s="137">
        <v>0.20194032380116383</v>
      </c>
      <c r="U42" s="135">
        <f t="shared" si="20"/>
        <v>0.20194032380116383</v>
      </c>
      <c r="W42" s="63">
        <f t="shared" si="6"/>
        <v>0</v>
      </c>
      <c r="X42" s="63">
        <f t="shared" si="7"/>
        <v>177002.30926525939</v>
      </c>
      <c r="Y42" s="63">
        <f t="shared" si="21"/>
        <v>-43921.575558300363</v>
      </c>
      <c r="Z42" s="63">
        <v>0</v>
      </c>
      <c r="AA42" s="63">
        <f t="shared" ca="1" si="8"/>
        <v>36397.635185598439</v>
      </c>
      <c r="AB42" s="64">
        <f t="shared" ca="1" si="9"/>
        <v>169478.36889255745</v>
      </c>
      <c r="AC42" s="51"/>
      <c r="AD42" s="51">
        <f t="shared" si="0"/>
        <v>0</v>
      </c>
      <c r="AE42" s="64">
        <f t="shared" si="10"/>
        <v>174392.90158278617</v>
      </c>
      <c r="AF42" s="64">
        <f t="shared" si="11"/>
        <v>-43274.073855277937</v>
      </c>
      <c r="AG42" s="51">
        <f t="shared" si="1"/>
        <v>0</v>
      </c>
      <c r="AH42" s="64">
        <f t="shared" ca="1" si="12"/>
        <v>35861.053096520576</v>
      </c>
      <c r="AI42" s="64">
        <f t="shared" ca="1" si="13"/>
        <v>166979.88082402881</v>
      </c>
      <c r="AJ42" s="57"/>
      <c r="AK42" s="51">
        <f ca="1">SUM(AD42:AD$51,AG42:AG$51)/D42+SUM(AE43:AF$52,AH43:AH$51)/D42</f>
        <v>-1711517.5892042308</v>
      </c>
      <c r="AL42" s="51">
        <f>SUM(AE43:$AF$52)*$F$14/D42</f>
        <v>115381.36651057593</v>
      </c>
      <c r="AM42" s="19"/>
      <c r="AN42" s="51">
        <f ca="1">-SUM(AD42:$AD$52,AH42:$AH$52)/D42</f>
        <v>3982747.2842301503</v>
      </c>
      <c r="AO42" s="51">
        <f ca="1">-SUM(W42:$W$52,AA42:$AA$52)</f>
        <v>4036473.3710411643</v>
      </c>
      <c r="AP42" s="19"/>
      <c r="AQ42" s="126"/>
      <c r="AR42" s="19"/>
      <c r="AS42" s="19"/>
    </row>
    <row r="43" spans="1:63" outlineLevel="1" x14ac:dyDescent="0.55000000000000004">
      <c r="A43" s="9"/>
      <c r="B43" s="1" t="s">
        <v>9</v>
      </c>
      <c r="C43" s="3">
        <v>4</v>
      </c>
      <c r="D43" s="87">
        <f t="shared" si="2"/>
        <v>0.98039215686274483</v>
      </c>
      <c r="E43" s="4"/>
      <c r="F43" s="84">
        <f t="shared" si="3"/>
        <v>0.8</v>
      </c>
      <c r="G43" s="84">
        <f t="shared" si="14"/>
        <v>0.82294850537622566</v>
      </c>
      <c r="H43" s="84">
        <f t="shared" si="15"/>
        <v>0.78431372549019596</v>
      </c>
      <c r="I43" s="4"/>
      <c r="J43" s="98">
        <v>1</v>
      </c>
      <c r="K43" s="94">
        <f t="shared" si="4"/>
        <v>8.3333333333333329E-2</v>
      </c>
      <c r="L43" s="47">
        <f t="shared" si="16"/>
        <v>0.82294850537622566</v>
      </c>
      <c r="M43" s="47">
        <f t="shared" si="17"/>
        <v>0.80681226017277008</v>
      </c>
      <c r="N43" s="4"/>
      <c r="O43" s="98">
        <v>4</v>
      </c>
      <c r="P43" s="94">
        <f t="shared" si="5"/>
        <v>5.128205128205128E-2</v>
      </c>
      <c r="Q43" s="47">
        <f t="shared" si="18"/>
        <v>3.2917940215049026</v>
      </c>
      <c r="R43" s="47">
        <f t="shared" si="19"/>
        <v>3.2272490406910803</v>
      </c>
      <c r="S43" s="51"/>
      <c r="T43" s="137">
        <v>0.20709640104961757</v>
      </c>
      <c r="U43" s="135">
        <f t="shared" si="20"/>
        <v>0.20709640104961757</v>
      </c>
      <c r="W43" s="63">
        <f t="shared" si="6"/>
        <v>-2400000</v>
      </c>
      <c r="X43" s="63">
        <f t="shared" si="7"/>
        <v>223753.84615384616</v>
      </c>
      <c r="Y43" s="63">
        <f t="shared" si="21"/>
        <v>-55384.615384615383</v>
      </c>
      <c r="Z43" s="63">
        <v>0</v>
      </c>
      <c r="AA43" s="63">
        <f t="shared" ca="1" si="8"/>
        <v>0</v>
      </c>
      <c r="AB43" s="64">
        <f t="shared" ca="1" si="9"/>
        <v>-2231630.7692307695</v>
      </c>
      <c r="AC43" s="51"/>
      <c r="AD43" s="51">
        <f t="shared" si="0"/>
        <v>-2352941.1764705875</v>
      </c>
      <c r="AE43" s="64">
        <f t="shared" si="10"/>
        <v>219366.515837104</v>
      </c>
      <c r="AF43" s="64">
        <f t="shared" si="11"/>
        <v>-54298.642533936632</v>
      </c>
      <c r="AG43" s="51">
        <f t="shared" si="1"/>
        <v>0</v>
      </c>
      <c r="AH43" s="64">
        <f t="shared" ca="1" si="12"/>
        <v>0</v>
      </c>
      <c r="AI43" s="64">
        <f t="shared" ca="1" si="13"/>
        <v>-2187873.30316742</v>
      </c>
      <c r="AJ43" s="57"/>
      <c r="AK43" s="51">
        <f ca="1">SUM(AD43:AD$51,AG43:AG$51)/D43+SUM(AE44:AF$52,AH44:AH$51)/D43</f>
        <v>-1888380.9646550165</v>
      </c>
      <c r="AL43" s="51">
        <f>SUM(AE44:$AF$52)*$F$14/D43</f>
        <v>107535.53479892913</v>
      </c>
      <c r="AM43" s="19"/>
      <c r="AN43" s="51">
        <f ca="1">-SUM(AD43:$AD$52,AH43:$AH$52)/D43</f>
        <v>4039091.6606335989</v>
      </c>
      <c r="AO43" s="51">
        <f ca="1">-SUM(W43:$W$52,AA43:$AA$52)</f>
        <v>4072871.0062267627</v>
      </c>
      <c r="AP43" s="19"/>
      <c r="AQ43" s="126"/>
      <c r="AR43" s="19"/>
      <c r="AS43" s="19"/>
    </row>
    <row r="44" spans="1:63" outlineLevel="1" x14ac:dyDescent="0.55000000000000004">
      <c r="A44" s="9"/>
      <c r="B44" s="1" t="s">
        <v>15</v>
      </c>
      <c r="C44" s="3">
        <v>5</v>
      </c>
      <c r="D44" s="87">
        <f t="shared" si="2"/>
        <v>0.97555056615670888</v>
      </c>
      <c r="E44" s="4"/>
      <c r="F44" s="84">
        <f t="shared" si="3"/>
        <v>0.75659328720254071</v>
      </c>
      <c r="G44" s="84">
        <f t="shared" si="14"/>
        <v>0.77829664360127038</v>
      </c>
      <c r="H44" s="84">
        <f t="shared" si="15"/>
        <v>0.73809500968080399</v>
      </c>
      <c r="I44" s="4"/>
      <c r="J44" s="98">
        <v>1</v>
      </c>
      <c r="K44" s="94">
        <f t="shared" si="4"/>
        <v>8.3333333333333329E-2</v>
      </c>
      <c r="L44" s="47">
        <f t="shared" si="16"/>
        <v>0.77829664360127038</v>
      </c>
      <c r="M44" s="47">
        <f t="shared" si="17"/>
        <v>0.75926773130308556</v>
      </c>
      <c r="N44" s="4"/>
      <c r="O44" s="98">
        <v>5</v>
      </c>
      <c r="P44" s="94">
        <f t="shared" si="5"/>
        <v>6.4102564102564097E-2</v>
      </c>
      <c r="Q44" s="47">
        <f t="shared" si="18"/>
        <v>3.8914832180063517</v>
      </c>
      <c r="R44" s="47">
        <f t="shared" si="19"/>
        <v>3.7963386565154278</v>
      </c>
      <c r="S44" s="51"/>
      <c r="T44" s="137">
        <v>8.3175297485096111E-2</v>
      </c>
      <c r="U44" s="135">
        <f t="shared" si="20"/>
        <v>8.3175297485096111E-2</v>
      </c>
      <c r="W44" s="63">
        <f t="shared" si="6"/>
        <v>0</v>
      </c>
      <c r="X44" s="63">
        <f t="shared" si="7"/>
        <v>265175.47925891087</v>
      </c>
      <c r="Y44" s="63">
        <f t="shared" si="21"/>
        <v>-65474.419084835245</v>
      </c>
      <c r="Z44" s="63">
        <v>0</v>
      </c>
      <c r="AA44" s="63">
        <f t="shared" ca="1" si="8"/>
        <v>78132.083035426811</v>
      </c>
      <c r="AB44" s="64">
        <f t="shared" ca="1" si="9"/>
        <v>277833.14320950245</v>
      </c>
      <c r="AC44" s="51"/>
      <c r="AD44" s="51">
        <f t="shared" si="0"/>
        <v>0</v>
      </c>
      <c r="AE44" s="64">
        <f t="shared" si="10"/>
        <v>258692.0889219071</v>
      </c>
      <c r="AF44" s="64">
        <f t="shared" si="11"/>
        <v>-63873.606606992646</v>
      </c>
      <c r="AG44" s="51">
        <f t="shared" si="1"/>
        <v>0</v>
      </c>
      <c r="AH44" s="64">
        <f t="shared" ca="1" si="12"/>
        <v>76221.797840213621</v>
      </c>
      <c r="AI44" s="64">
        <f t="shared" ca="1" si="13"/>
        <v>271040.2801551281</v>
      </c>
      <c r="AJ44" s="57"/>
      <c r="AK44" s="51">
        <f ca="1">SUM(AD44:AD$51,AG44:AG$51)/D44+SUM(AE45:AF$52,AH45:AH$51)/D44</f>
        <v>236325.02239944716</v>
      </c>
      <c r="AL44" s="51">
        <f>SUM(AE45:$AF$52)*$F$14/D44</f>
        <v>98084.173291120314</v>
      </c>
      <c r="AM44" s="19"/>
      <c r="AN44" s="51">
        <f ca="1">-SUM(AD44:$AD$52,AH44:$AH$52)/D44</f>
        <v>1647226.3603875323</v>
      </c>
      <c r="AO44" s="51">
        <f ca="1">-SUM(W44:$W$52,AA44:$AA$52)</f>
        <v>1672871.0062267636</v>
      </c>
      <c r="AP44" s="19"/>
      <c r="AQ44" s="126"/>
      <c r="AR44" s="19"/>
      <c r="AS44" s="19"/>
    </row>
    <row r="45" spans="1:63" outlineLevel="1" x14ac:dyDescent="0.55000000000000004">
      <c r="A45" s="9"/>
      <c r="B45" s="1" t="s">
        <v>16</v>
      </c>
      <c r="C45" s="3">
        <v>6</v>
      </c>
      <c r="D45" s="87">
        <f t="shared" si="2"/>
        <v>0.9707328852712489</v>
      </c>
      <c r="E45" s="4"/>
      <c r="F45" s="84">
        <f t="shared" si="3"/>
        <v>0.71554175279993271</v>
      </c>
      <c r="G45" s="84">
        <f t="shared" si="14"/>
        <v>0.73606752000123676</v>
      </c>
      <c r="H45" s="84">
        <f t="shared" si="15"/>
        <v>0.69459991022752543</v>
      </c>
      <c r="I45" s="4"/>
      <c r="J45" s="98">
        <v>1</v>
      </c>
      <c r="K45" s="94">
        <f t="shared" si="4"/>
        <v>8.3333333333333329E-2</v>
      </c>
      <c r="L45" s="47">
        <f t="shared" si="16"/>
        <v>0.73606752000123676</v>
      </c>
      <c r="M45" s="47">
        <f t="shared" si="17"/>
        <v>0.7145249474452533</v>
      </c>
      <c r="N45" s="4"/>
      <c r="O45" s="98">
        <v>6</v>
      </c>
      <c r="P45" s="94">
        <f t="shared" si="5"/>
        <v>7.6923076923076927E-2</v>
      </c>
      <c r="Q45" s="47">
        <f t="shared" si="18"/>
        <v>4.4164051200074201</v>
      </c>
      <c r="R45" s="47">
        <f t="shared" si="19"/>
        <v>4.2871496846715189</v>
      </c>
      <c r="S45" s="51"/>
      <c r="T45" s="137">
        <v>5.1890782453176132E-2</v>
      </c>
      <c r="U45" s="135">
        <f t="shared" si="20"/>
        <v>5.1890782453176132E-2</v>
      </c>
      <c r="W45" s="63">
        <f t="shared" si="6"/>
        <v>0</v>
      </c>
      <c r="X45" s="63">
        <f t="shared" si="7"/>
        <v>301694.53874670289</v>
      </c>
      <c r="Y45" s="63">
        <f t="shared" si="21"/>
        <v>-74306.258944608402</v>
      </c>
      <c r="Z45" s="63">
        <v>0</v>
      </c>
      <c r="AA45" s="63">
        <f t="shared" ca="1" si="8"/>
        <v>49261.841283129601</v>
      </c>
      <c r="AB45" s="64">
        <f t="shared" ca="1" si="9"/>
        <v>276650.12108522409</v>
      </c>
      <c r="AC45" s="51"/>
      <c r="AD45" s="51">
        <f t="shared" si="0"/>
        <v>0</v>
      </c>
      <c r="AE45" s="64">
        <f t="shared" si="10"/>
        <v>292864.81006816548</v>
      </c>
      <c r="AF45" s="64">
        <f t="shared" si="11"/>
        <v>-72131.529139012258</v>
      </c>
      <c r="AG45" s="51">
        <f t="shared" si="1"/>
        <v>0</v>
      </c>
      <c r="AH45" s="64">
        <f t="shared" ca="1" si="12"/>
        <v>47820.089322546723</v>
      </c>
      <c r="AI45" s="64">
        <f t="shared" ca="1" si="13"/>
        <v>268553.37025169993</v>
      </c>
      <c r="AJ45" s="57"/>
      <c r="AK45" s="51">
        <f ca="1">SUM(AD45:AD$51,AG45:AG$51)/D45+SUM(AE46:AF$52,AH46:AH$51)/D45</f>
        <v>-39152.233770572813</v>
      </c>
      <c r="AL45" s="51">
        <f>SUM(AE46:$AF$52)*$F$14/D45</f>
        <v>87201.544341473695</v>
      </c>
      <c r="AM45" s="19"/>
      <c r="AN45" s="51">
        <f ca="1">-SUM(AD45:$AD$52,AH45:$AH$52)/D45</f>
        <v>1733921.2793169168</v>
      </c>
      <c r="AO45" s="51">
        <f ca="1">-SUM(W45:$W$52,AA45:$AA$52)</f>
        <v>1751003.0892621905</v>
      </c>
      <c r="AP45" s="19"/>
      <c r="AQ45" s="19"/>
      <c r="AR45" s="19"/>
      <c r="AS45" s="19"/>
    </row>
    <row r="46" spans="1:63" outlineLevel="1" x14ac:dyDescent="0.55000000000000004">
      <c r="A46" s="9"/>
      <c r="B46" s="1" t="s">
        <v>17</v>
      </c>
      <c r="C46" s="3">
        <v>7</v>
      </c>
      <c r="D46" s="87">
        <f t="shared" si="2"/>
        <v>0.96593899612956868</v>
      </c>
      <c r="E46" s="4"/>
      <c r="F46" s="84">
        <f t="shared" si="3"/>
        <v>0.67671760860196106</v>
      </c>
      <c r="G46" s="84">
        <f t="shared" si="14"/>
        <v>0.69612968070094694</v>
      </c>
      <c r="H46" s="84">
        <f t="shared" si="15"/>
        <v>0.65366792751618064</v>
      </c>
      <c r="I46" s="4"/>
      <c r="J46" s="98">
        <v>1</v>
      </c>
      <c r="K46" s="94">
        <f t="shared" si="4"/>
        <v>8.3333333333333329E-2</v>
      </c>
      <c r="L46" s="47">
        <f t="shared" si="16"/>
        <v>0.69612968070094694</v>
      </c>
      <c r="M46" s="47">
        <f t="shared" si="17"/>
        <v>0.67241880495226991</v>
      </c>
      <c r="N46" s="4"/>
      <c r="O46" s="98">
        <v>7</v>
      </c>
      <c r="P46" s="94">
        <f t="shared" si="5"/>
        <v>8.9743589743589744E-2</v>
      </c>
      <c r="Q46" s="47">
        <f t="shared" si="18"/>
        <v>4.8729077649066284</v>
      </c>
      <c r="R46" s="47">
        <f t="shared" si="19"/>
        <v>4.7069316346658887</v>
      </c>
      <c r="S46" s="51"/>
      <c r="T46" s="137">
        <v>2.7830892374108518E-2</v>
      </c>
      <c r="U46" s="135">
        <f t="shared" si="20"/>
        <v>2.7830892374108518E-2</v>
      </c>
      <c r="W46" s="63">
        <f t="shared" si="6"/>
        <v>0</v>
      </c>
      <c r="X46" s="63">
        <f t="shared" si="7"/>
        <v>333708.35373476904</v>
      </c>
      <c r="Y46" s="63">
        <f t="shared" si="21"/>
        <v>-81986.941042160659</v>
      </c>
      <c r="Z46" s="63">
        <v>0</v>
      </c>
      <c r="AA46" s="63">
        <f t="shared" ca="1" si="8"/>
        <v>23294.486518782986</v>
      </c>
      <c r="AB46" s="64">
        <f t="shared" ca="1" si="9"/>
        <v>275015.89921139134</v>
      </c>
      <c r="AC46" s="51"/>
      <c r="AD46" s="51">
        <f t="shared" si="0"/>
        <v>0</v>
      </c>
      <c r="AE46" s="64">
        <f t="shared" si="10"/>
        <v>322341.91220661381</v>
      </c>
      <c r="AF46" s="64">
        <f t="shared" si="11"/>
        <v>-79194.383525998797</v>
      </c>
      <c r="AG46" s="51">
        <f t="shared" si="1"/>
        <v>0</v>
      </c>
      <c r="AH46" s="64">
        <f t="shared" ca="1" si="12"/>
        <v>22501.052923307008</v>
      </c>
      <c r="AI46" s="64">
        <f t="shared" ca="1" si="13"/>
        <v>265648.58160392201</v>
      </c>
      <c r="AJ46" s="57"/>
      <c r="AK46" s="51">
        <f ca="1">SUM(AD46:AD$51,AG46:AG$51)/D46+SUM(AE47:AF$52,AH47:AH$51)/D46</f>
        <v>-314362.44283910585</v>
      </c>
      <c r="AL46" s="51">
        <f>SUM(AE47:$AF$52)*$F$14/D46</f>
        <v>75048.24900448769</v>
      </c>
      <c r="AM46" s="19"/>
      <c r="AN46" s="51">
        <f ca="1">-SUM(AD46:$AD$52,AH46:$AH$52)/D46</f>
        <v>1792032.9364100765</v>
      </c>
      <c r="AO46" s="51">
        <f ca="1">-SUM(W46:$W$52,AA46:$AA$52)</f>
        <v>1800264.93054532</v>
      </c>
      <c r="AP46" s="19"/>
      <c r="AQ46" s="19"/>
      <c r="AR46" s="19"/>
      <c r="AS46" s="19"/>
    </row>
    <row r="47" spans="1:63" outlineLevel="1" x14ac:dyDescent="0.55000000000000004">
      <c r="A47" s="9"/>
      <c r="B47" s="1" t="s">
        <v>18</v>
      </c>
      <c r="C47" s="3">
        <v>8</v>
      </c>
      <c r="D47" s="87">
        <f t="shared" si="2"/>
        <v>0.96116878123798488</v>
      </c>
      <c r="E47" s="4"/>
      <c r="F47" s="84">
        <f t="shared" si="3"/>
        <v>0.64000000000000012</v>
      </c>
      <c r="G47" s="84">
        <f t="shared" si="14"/>
        <v>0.65835880430098059</v>
      </c>
      <c r="H47" s="84">
        <f t="shared" si="15"/>
        <v>0.61514801999231039</v>
      </c>
      <c r="I47" s="4"/>
      <c r="J47" s="98">
        <v>1</v>
      </c>
      <c r="K47" s="94">
        <f t="shared" si="4"/>
        <v>8.3333333333333329E-2</v>
      </c>
      <c r="L47" s="47">
        <f t="shared" si="16"/>
        <v>0.65835880430098059</v>
      </c>
      <c r="M47" s="47">
        <f t="shared" si="17"/>
        <v>0.63279392954727054</v>
      </c>
      <c r="N47" s="4"/>
      <c r="O47" s="98">
        <v>8</v>
      </c>
      <c r="P47" s="94">
        <f t="shared" si="5"/>
        <v>0.10256410256410256</v>
      </c>
      <c r="Q47" s="47">
        <f t="shared" si="18"/>
        <v>5.2668704344078447</v>
      </c>
      <c r="R47" s="47">
        <f t="shared" si="19"/>
        <v>5.0623514363781643</v>
      </c>
      <c r="S47" s="51"/>
      <c r="T47" s="137">
        <v>1.5225286106495761E-2</v>
      </c>
      <c r="U47" s="135">
        <f t="shared" si="20"/>
        <v>1.5225286106495761E-2</v>
      </c>
      <c r="W47" s="63">
        <f t="shared" si="6"/>
        <v>-1920000.0000000005</v>
      </c>
      <c r="X47" s="63">
        <f t="shared" si="7"/>
        <v>361586.21538461553</v>
      </c>
      <c r="Y47" s="63">
        <f t="shared" si="21"/>
        <v>-88615.384615384639</v>
      </c>
      <c r="Z47" s="63">
        <v>0</v>
      </c>
      <c r="AA47" s="63">
        <f t="shared" ca="1" si="8"/>
        <v>0</v>
      </c>
      <c r="AB47" s="64">
        <f t="shared" ca="1" si="9"/>
        <v>-1647029.1692307696</v>
      </c>
      <c r="AC47" s="51"/>
      <c r="AD47" s="51">
        <f t="shared" si="0"/>
        <v>-1845444.0599769314</v>
      </c>
      <c r="AE47" s="64">
        <f t="shared" si="10"/>
        <v>347545.38195368642</v>
      </c>
      <c r="AF47" s="64">
        <f t="shared" si="11"/>
        <v>-85174.341229704529</v>
      </c>
      <c r="AG47" s="51">
        <f t="shared" si="1"/>
        <v>0</v>
      </c>
      <c r="AH47" s="64">
        <f t="shared" ca="1" si="12"/>
        <v>0</v>
      </c>
      <c r="AI47" s="64">
        <f t="shared" ca="1" si="13"/>
        <v>-1583073.0192529494</v>
      </c>
      <c r="AJ47" s="57"/>
      <c r="AK47" s="51">
        <f ca="1">SUM(AD47:AD$51,AG47:AG$51)/D47+SUM(AE48:AF$52,AH48:AH$51)/D47</f>
        <v>-588893.43290133215</v>
      </c>
      <c r="AL47" s="51">
        <f>SUM(AE48:$AF$52)*$F$14/D47</f>
        <v>61772.166790524177</v>
      </c>
      <c r="AM47" s="19"/>
      <c r="AN47" s="51">
        <f ca="1">-SUM(AD47:$AD$52,AH47:$AH$52)/D47</f>
        <v>1824336.7687118158</v>
      </c>
      <c r="AO47" s="51">
        <f ca="1">-SUM(W47:$W$52,AA47:$AA$52)</f>
        <v>1823559.4170641031</v>
      </c>
      <c r="AP47" s="19"/>
      <c r="AQ47" s="19"/>
      <c r="AR47" s="19"/>
      <c r="AS47" s="19"/>
    </row>
    <row r="48" spans="1:63" outlineLevel="1" x14ac:dyDescent="0.55000000000000004">
      <c r="A48" s="9"/>
      <c r="B48" s="1" t="s">
        <v>19</v>
      </c>
      <c r="C48" s="3">
        <v>9</v>
      </c>
      <c r="D48" s="87">
        <f t="shared" si="2"/>
        <v>0.95642212368304769</v>
      </c>
      <c r="E48" s="4"/>
      <c r="F48" s="84">
        <f t="shared" si="3"/>
        <v>0.60527462976203261</v>
      </c>
      <c r="G48" s="84">
        <f t="shared" si="14"/>
        <v>0.62263731488101637</v>
      </c>
      <c r="H48" s="84">
        <f t="shared" si="15"/>
        <v>0.57889804680847368</v>
      </c>
      <c r="I48" s="4"/>
      <c r="J48" s="98">
        <v>1</v>
      </c>
      <c r="K48" s="94">
        <f t="shared" si="4"/>
        <v>8.3333333333333329E-2</v>
      </c>
      <c r="L48" s="47">
        <f t="shared" si="16"/>
        <v>0.62263731488101637</v>
      </c>
      <c r="M48" s="47">
        <f t="shared" si="17"/>
        <v>0.5955041029828122</v>
      </c>
      <c r="N48" s="4"/>
      <c r="O48" s="98">
        <v>9</v>
      </c>
      <c r="P48" s="94">
        <f t="shared" si="5"/>
        <v>0.11538461538461539</v>
      </c>
      <c r="Q48" s="47">
        <f t="shared" si="18"/>
        <v>5.6037358339291474</v>
      </c>
      <c r="R48" s="47">
        <f t="shared" si="19"/>
        <v>5.3595369268453092</v>
      </c>
      <c r="S48" s="51"/>
      <c r="T48" s="137">
        <v>1.3868361840445591E-2</v>
      </c>
      <c r="U48" s="135">
        <f t="shared" si="20"/>
        <v>1.3868361840445591E-2</v>
      </c>
      <c r="W48" s="63">
        <f t="shared" si="6"/>
        <v>0</v>
      </c>
      <c r="X48" s="63">
        <f t="shared" si="7"/>
        <v>385671.21703415998</v>
      </c>
      <c r="Y48" s="63">
        <f t="shared" si="21"/>
        <v>-94283.163482162781</v>
      </c>
      <c r="Z48" s="63">
        <v>0</v>
      </c>
      <c r="AA48" s="63">
        <f t="shared" ca="1" si="8"/>
        <v>50004.53314267323</v>
      </c>
      <c r="AB48" s="64">
        <f t="shared" ca="1" si="9"/>
        <v>341392.58669467038</v>
      </c>
      <c r="AC48" s="51"/>
      <c r="AD48" s="51">
        <f t="shared" si="0"/>
        <v>0</v>
      </c>
      <c r="AE48" s="64">
        <f t="shared" si="10"/>
        <v>368864.48443923687</v>
      </c>
      <c r="AF48" s="64">
        <f t="shared" si="11"/>
        <v>-90174.50344516609</v>
      </c>
      <c r="AG48" s="51">
        <f t="shared" si="1"/>
        <v>0</v>
      </c>
      <c r="AH48" s="64">
        <f t="shared" ca="1" si="12"/>
        <v>47825.441782094873</v>
      </c>
      <c r="AI48" s="64">
        <f t="shared" ca="1" si="13"/>
        <v>326515.42277616565</v>
      </c>
      <c r="AJ48" s="57"/>
      <c r="AK48" s="51">
        <f ca="1">SUM(AD48:AD$51,AG48:AG$51)/D48+SUM(AE49:AF$52,AH49:AH$51)/D48</f>
        <v>996320.17121315072</v>
      </c>
      <c r="AL48" s="51">
        <f>SUM(AE49:$AF$52)*$F$14/D48</f>
        <v>47509.335149834216</v>
      </c>
      <c r="AM48" s="19"/>
      <c r="AN48" s="51">
        <f ca="1">-SUM(AD48:$AD$52,AH48:$AH$52)/D48</f>
        <v>-96138.001359139729</v>
      </c>
      <c r="AO48" s="51">
        <f ca="1">-SUM(W48:$W$52,AA48:$AA$52)</f>
        <v>-96440.582935897313</v>
      </c>
      <c r="AP48" s="19"/>
      <c r="AQ48" s="19"/>
      <c r="AR48" s="19"/>
      <c r="AS48" s="19"/>
    </row>
    <row r="49" spans="1:45" outlineLevel="1" x14ac:dyDescent="0.55000000000000004">
      <c r="A49" s="9"/>
      <c r="B49" s="1" t="s">
        <v>20</v>
      </c>
      <c r="C49" s="3">
        <v>10</v>
      </c>
      <c r="D49" s="87">
        <f t="shared" si="2"/>
        <v>0.95169890712867522</v>
      </c>
      <c r="E49" s="4"/>
      <c r="F49" s="84">
        <f t="shared" si="3"/>
        <v>0.57243340223994621</v>
      </c>
      <c r="G49" s="84">
        <f t="shared" si="14"/>
        <v>0.58885401600098941</v>
      </c>
      <c r="H49" s="84">
        <f t="shared" si="15"/>
        <v>0.54478424331570618</v>
      </c>
      <c r="I49" s="4"/>
      <c r="J49" s="98">
        <v>1</v>
      </c>
      <c r="K49" s="94">
        <f t="shared" si="4"/>
        <v>8.3333333333333329E-2</v>
      </c>
      <c r="L49" s="47">
        <f t="shared" si="16"/>
        <v>0.58885401600098941</v>
      </c>
      <c r="M49" s="47">
        <f t="shared" si="17"/>
        <v>0.56041172348647306</v>
      </c>
      <c r="N49" s="4"/>
      <c r="O49" s="98">
        <v>10</v>
      </c>
      <c r="P49" s="94">
        <f t="shared" si="5"/>
        <v>0.12820512820512819</v>
      </c>
      <c r="Q49" s="47">
        <f t="shared" si="18"/>
        <v>5.8885401600098941</v>
      </c>
      <c r="R49" s="47">
        <f t="shared" si="19"/>
        <v>5.6041172348647308</v>
      </c>
      <c r="S49" s="51"/>
      <c r="T49" s="137">
        <v>5.0809898881113407E-3</v>
      </c>
      <c r="U49" s="135">
        <f t="shared" si="20"/>
        <v>5.0809898881113407E-3</v>
      </c>
      <c r="W49" s="63">
        <f t="shared" si="6"/>
        <v>0</v>
      </c>
      <c r="X49" s="63">
        <f t="shared" si="7"/>
        <v>406281.97884555988</v>
      </c>
      <c r="Y49" s="63">
        <f t="shared" si="21"/>
        <v>-99075.011926144522</v>
      </c>
      <c r="Z49" s="63">
        <v>0</v>
      </c>
      <c r="AA49" s="63">
        <f t="shared" ca="1" si="8"/>
        <v>31527.578421202954</v>
      </c>
      <c r="AB49" s="64">
        <f t="shared" ca="1" si="9"/>
        <v>338734.54534061829</v>
      </c>
      <c r="AC49" s="51"/>
      <c r="AD49" s="51">
        <f t="shared" si="0"/>
        <v>0</v>
      </c>
      <c r="AE49" s="64">
        <f t="shared" si="10"/>
        <v>386658.11525339488</v>
      </c>
      <c r="AF49" s="64">
        <f t="shared" si="11"/>
        <v>-94289.580573872212</v>
      </c>
      <c r="AG49" s="51">
        <f t="shared" si="1"/>
        <v>0</v>
      </c>
      <c r="AH49" s="64">
        <f t="shared" ca="1" si="12"/>
        <v>30004.761927872456</v>
      </c>
      <c r="AI49" s="64">
        <f t="shared" ca="1" si="13"/>
        <v>322373.29660739511</v>
      </c>
      <c r="AJ49" s="57"/>
      <c r="AK49" s="51">
        <f ca="1">SUM(AD49:AD$51,AG49:AG$51)/D49+SUM(AE50:AF$52,AH50:AH$51)/D49</f>
        <v>662530.29470726603</v>
      </c>
      <c r="AL49" s="51">
        <f>SUM(AE50:$AF$52)*$F$14/D49</f>
        <v>32384.772383300482</v>
      </c>
      <c r="AM49" s="19"/>
      <c r="AN49" s="51">
        <f ca="1">-SUM(AD49:$AD$52,AH49:$AH$52)/D49</f>
        <v>-46362.425462459389</v>
      </c>
      <c r="AO49" s="51">
        <f ca="1">-SUM(W49:$W$52,AA49:$AA$52)</f>
        <v>-46436.049793224091</v>
      </c>
      <c r="AP49" s="19"/>
      <c r="AQ49" s="19"/>
      <c r="AR49" s="19"/>
      <c r="AS49" s="19"/>
    </row>
    <row r="50" spans="1:45" outlineLevel="1" x14ac:dyDescent="0.55000000000000004">
      <c r="A50" s="9"/>
      <c r="B50" s="1" t="s">
        <v>21</v>
      </c>
      <c r="C50" s="3">
        <v>11</v>
      </c>
      <c r="D50" s="87">
        <f t="shared" si="2"/>
        <v>0.94699901581330248</v>
      </c>
      <c r="E50" s="4"/>
      <c r="F50" s="84">
        <f t="shared" si="3"/>
        <v>0.54137408688156885</v>
      </c>
      <c r="G50" s="84">
        <f t="shared" si="14"/>
        <v>0.55690374456075753</v>
      </c>
      <c r="H50" s="84">
        <f t="shared" si="15"/>
        <v>0.51268072746367099</v>
      </c>
      <c r="I50" s="4"/>
      <c r="J50" s="98">
        <v>1</v>
      </c>
      <c r="K50" s="94">
        <f t="shared" si="4"/>
        <v>8.3333333333333329E-2</v>
      </c>
      <c r="L50" s="47">
        <f t="shared" si="16"/>
        <v>0.55690374456075753</v>
      </c>
      <c r="M50" s="47">
        <f t="shared" si="17"/>
        <v>0.52738729800178019</v>
      </c>
      <c r="N50" s="4"/>
      <c r="O50" s="98">
        <v>11</v>
      </c>
      <c r="P50" s="94">
        <f t="shared" si="5"/>
        <v>0.14102564102564102</v>
      </c>
      <c r="Q50" s="47">
        <f t="shared" si="18"/>
        <v>6.1259411901683327</v>
      </c>
      <c r="R50" s="47">
        <f t="shared" si="19"/>
        <v>5.8012602780195817</v>
      </c>
      <c r="S50" s="51"/>
      <c r="T50" s="137">
        <v>6.0769058883075608E-3</v>
      </c>
      <c r="U50" s="135">
        <f t="shared" si="20"/>
        <v>6.0769058883075608E-3</v>
      </c>
      <c r="W50" s="63">
        <f t="shared" si="6"/>
        <v>0</v>
      </c>
      <c r="X50" s="63">
        <f t="shared" si="7"/>
        <v>423714.26399923244</v>
      </c>
      <c r="Y50" s="63">
        <f t="shared" si="21"/>
        <v>-103069.29731014484</v>
      </c>
      <c r="Z50" s="63">
        <v>0</v>
      </c>
      <c r="AA50" s="63">
        <f t="shared" ca="1" si="8"/>
        <v>14908.471372021137</v>
      </c>
      <c r="AB50" s="64">
        <f t="shared" ca="1" si="9"/>
        <v>335553.4380611087</v>
      </c>
      <c r="AC50" s="51"/>
      <c r="AD50" s="51">
        <f t="shared" si="0"/>
        <v>0</v>
      </c>
      <c r="AE50" s="64">
        <f t="shared" si="10"/>
        <v>401256.99099333095</v>
      </c>
      <c r="AF50" s="64">
        <f t="shared" si="11"/>
        <v>-97606.523113275834</v>
      </c>
      <c r="AG50" s="51">
        <f t="shared" si="1"/>
        <v>0</v>
      </c>
      <c r="AH50" s="64">
        <f t="shared" ca="1" si="12"/>
        <v>14118.307716584812</v>
      </c>
      <c r="AI50" s="64">
        <f t="shared" ca="1" si="13"/>
        <v>317768.77559663996</v>
      </c>
      <c r="AJ50" s="57"/>
      <c r="AK50" s="51">
        <f ca="1">SUM(AD50:AD$51,AG50:AG$51)/D50+SUM(AE51:AF$52,AH51:AH$51)/D50</f>
        <v>330264.94916396396</v>
      </c>
      <c r="AL50" s="51">
        <f>SUM(AE51:$AF$52)*$F$14/D50</f>
        <v>16513.247458198199</v>
      </c>
      <c r="AM50" s="19"/>
      <c r="AN50" s="51">
        <f ca="1">-SUM(AD50:$AD$52,AH50:$AH$52)/D50</f>
        <v>-14908.471372021137</v>
      </c>
      <c r="AO50" s="51">
        <f ca="1">-SUM(W50:$W$52,AA50:$AA$52)</f>
        <v>-14908.471372021137</v>
      </c>
      <c r="AP50" s="19"/>
      <c r="AQ50" s="19"/>
      <c r="AR50" s="19"/>
      <c r="AS50" s="19"/>
    </row>
    <row r="51" spans="1:45" outlineLevel="1" x14ac:dyDescent="0.55000000000000004">
      <c r="A51" s="9"/>
      <c r="B51" s="1" t="s">
        <v>22</v>
      </c>
      <c r="C51" s="3">
        <v>12</v>
      </c>
      <c r="D51" s="87">
        <f t="shared" si="2"/>
        <v>0.94232233454704384</v>
      </c>
      <c r="E51" s="4"/>
      <c r="F51" s="84">
        <f t="shared" si="3"/>
        <v>0.51200000000000012</v>
      </c>
      <c r="G51" s="84">
        <f t="shared" si="14"/>
        <v>0.52668704344078443</v>
      </c>
      <c r="H51" s="84">
        <f t="shared" si="15"/>
        <v>0.48246903528808655</v>
      </c>
      <c r="I51" s="4"/>
      <c r="J51" s="98">
        <v>1</v>
      </c>
      <c r="K51" s="94">
        <f t="shared" si="4"/>
        <v>8.3333333333333329E-2</v>
      </c>
      <c r="L51" s="47">
        <f t="shared" si="16"/>
        <v>0.52668704344078443</v>
      </c>
      <c r="M51" s="47">
        <f t="shared" si="17"/>
        <v>0.4963089643508003</v>
      </c>
      <c r="N51" s="4"/>
      <c r="O51" s="98">
        <v>12</v>
      </c>
      <c r="P51" s="94">
        <f t="shared" si="5"/>
        <v>0.15384615384615385</v>
      </c>
      <c r="Q51" s="47">
        <f t="shared" si="18"/>
        <v>6.3202445212894132</v>
      </c>
      <c r="R51" s="47">
        <f t="shared" si="19"/>
        <v>5.9557075722096036</v>
      </c>
      <c r="S51" s="51"/>
      <c r="T51" s="137">
        <v>6.7969588236102014E-3</v>
      </c>
      <c r="U51" s="135">
        <f t="shared" si="20"/>
        <v>6.7969588236102014E-3</v>
      </c>
      <c r="W51" s="63">
        <f t="shared" si="6"/>
        <v>0</v>
      </c>
      <c r="X51" s="63">
        <f t="shared" si="7"/>
        <v>438242.49304615392</v>
      </c>
      <c r="Y51" s="63">
        <f t="shared" si="21"/>
        <v>-106338.46153846156</v>
      </c>
      <c r="Z51" s="63">
        <v>0</v>
      </c>
      <c r="AA51" s="63">
        <f t="shared" ca="1" si="8"/>
        <v>0</v>
      </c>
      <c r="AB51" s="64">
        <f t="shared" ca="1" si="9"/>
        <v>331904.03150769236</v>
      </c>
      <c r="AC51" s="51"/>
      <c r="AD51" s="51">
        <f t="shared" si="0"/>
        <v>0</v>
      </c>
      <c r="AE51" s="64">
        <f t="shared" si="10"/>
        <v>412965.6891449684</v>
      </c>
      <c r="AF51" s="64">
        <f t="shared" si="11"/>
        <v>-100205.10732906414</v>
      </c>
      <c r="AG51" s="51">
        <f t="shared" si="1"/>
        <v>0</v>
      </c>
      <c r="AH51" s="64">
        <f t="shared" ca="1" si="12"/>
        <v>0</v>
      </c>
      <c r="AI51" s="64">
        <f t="shared" ca="1" si="13"/>
        <v>312760.58181590424</v>
      </c>
      <c r="AJ51" s="57"/>
      <c r="AK51" s="51">
        <f ca="1">SUM(AD51:AD$51,AG51:AG$51)/D51+SUM(AE52:AF$52,AH$51:AH52)/D51</f>
        <v>0</v>
      </c>
      <c r="AL51" s="51">
        <f>SUM(AE52:$AF$52)*$F$14/D51</f>
        <v>0</v>
      </c>
      <c r="AM51" s="19"/>
      <c r="AN51" s="51">
        <f ca="1">-SUM(AD51:$AD$52,AH51:$AH$52)/D51</f>
        <v>0</v>
      </c>
      <c r="AO51" s="51">
        <f ca="1">-SUM(W51:$W$52,AA51:$AA$52)</f>
        <v>0</v>
      </c>
      <c r="AP51" s="19"/>
      <c r="AQ51" s="19"/>
      <c r="AR51" s="19"/>
      <c r="AS51" s="19"/>
    </row>
    <row r="52" spans="1:45" outlineLevel="1" x14ac:dyDescent="0.55000000000000004">
      <c r="B52" s="8"/>
      <c r="C52" s="6"/>
      <c r="D52" s="7"/>
      <c r="E52" s="2"/>
      <c r="F52" s="85"/>
      <c r="G52" s="85"/>
      <c r="H52" s="79"/>
      <c r="I52" s="2"/>
      <c r="J52" s="6"/>
      <c r="K52" s="6"/>
      <c r="L52" s="71"/>
      <c r="M52" s="90"/>
      <c r="N52" s="2"/>
      <c r="O52" s="12"/>
      <c r="P52" s="12"/>
      <c r="Q52" s="50"/>
      <c r="R52" s="90"/>
      <c r="S52" s="55"/>
      <c r="T52" s="136"/>
      <c r="U52" s="136"/>
      <c r="W52" s="66"/>
      <c r="X52" s="66"/>
      <c r="Y52" s="66"/>
      <c r="Z52" s="66"/>
      <c r="AA52" s="66"/>
      <c r="AB52" s="66"/>
      <c r="AC52" s="55"/>
      <c r="AD52" s="67"/>
      <c r="AE52" s="68"/>
      <c r="AF52" s="68"/>
      <c r="AG52" s="67"/>
      <c r="AH52" s="67"/>
      <c r="AI52" s="68"/>
      <c r="AJ52" s="57"/>
      <c r="AK52" s="67"/>
      <c r="AL52" s="67"/>
      <c r="AM52" s="19"/>
      <c r="AN52" s="121"/>
      <c r="AO52" s="121"/>
      <c r="AP52" s="19"/>
      <c r="AQ52" s="19"/>
      <c r="AR52" s="19"/>
      <c r="AS52" s="19"/>
    </row>
    <row r="53" spans="1:45" outlineLevel="1" x14ac:dyDescent="0.55000000000000004">
      <c r="A53" s="9"/>
      <c r="B53" s="4"/>
      <c r="C53" s="4"/>
      <c r="D53" s="4"/>
      <c r="E53" s="4"/>
      <c r="F53" s="3"/>
      <c r="G53" s="3"/>
      <c r="H53" s="4"/>
      <c r="I53" s="4"/>
      <c r="J53" s="4"/>
      <c r="K53" s="4"/>
      <c r="L53" s="51"/>
      <c r="M53" s="51"/>
      <c r="N53" s="4"/>
      <c r="O53" s="4"/>
      <c r="P53" s="4"/>
      <c r="Q53" s="51"/>
      <c r="R53" s="51"/>
      <c r="S53" s="51"/>
      <c r="T53" s="4"/>
      <c r="U53" s="4"/>
      <c r="W53" s="51"/>
      <c r="X53" s="51"/>
      <c r="Y53" s="51"/>
      <c r="Z53" s="51"/>
      <c r="AA53" s="51"/>
      <c r="AB53" s="51"/>
      <c r="AC53" s="51"/>
      <c r="AD53" s="51"/>
      <c r="AE53" s="51"/>
      <c r="AF53" s="51"/>
      <c r="AG53" s="51"/>
      <c r="AH53" s="51"/>
      <c r="AI53" s="51"/>
      <c r="AJ53" s="57"/>
      <c r="AK53" s="51"/>
      <c r="AL53" s="51"/>
      <c r="AM53" s="19"/>
      <c r="AN53" s="55"/>
      <c r="AO53" s="55"/>
      <c r="AP53" s="19"/>
      <c r="AQ53" s="19"/>
      <c r="AR53" s="19"/>
      <c r="AS53" s="19"/>
    </row>
    <row r="54" spans="1:45" outlineLevel="1" x14ac:dyDescent="0.55000000000000004">
      <c r="A54" s="9"/>
      <c r="B54" s="24"/>
      <c r="C54" s="24"/>
      <c r="D54" s="25"/>
      <c r="E54" s="4"/>
      <c r="F54" s="26"/>
      <c r="G54" s="26"/>
      <c r="H54" s="26"/>
      <c r="I54" s="4"/>
      <c r="J54" s="80">
        <f>SUM(J40:J51)</f>
        <v>12</v>
      </c>
      <c r="K54" s="95">
        <f>SUM(K40:K51)</f>
        <v>1</v>
      </c>
      <c r="L54" s="81">
        <f>SUM(L40:L51)</f>
        <v>8.750000578243526</v>
      </c>
      <c r="M54" s="81">
        <f>SUM(M40:M51)</f>
        <v>8.5018494039607937</v>
      </c>
      <c r="N54" s="4"/>
      <c r="O54" s="80">
        <f>SUM(O40:O51)</f>
        <v>78</v>
      </c>
      <c r="P54" s="95">
        <f>SUM(P40:P51)</f>
        <v>1</v>
      </c>
      <c r="Q54" s="81">
        <f>SUM(Q40:Q51)</f>
        <v>51.101448171363167</v>
      </c>
      <c r="R54" s="81">
        <f>SUM(R40:R51)</f>
        <v>49.162749367200576</v>
      </c>
      <c r="S54" s="52"/>
      <c r="T54" s="80">
        <f>SUM(T40:T51)</f>
        <v>1</v>
      </c>
      <c r="U54" s="95">
        <f>SUM(U40:U51)</f>
        <v>1</v>
      </c>
      <c r="W54" s="52">
        <f t="shared" ref="W54:AB54" si="22">SUM(W39:W51)</f>
        <v>-7320000</v>
      </c>
      <c r="X54" s="52">
        <f t="shared" si="22"/>
        <v>3506929.6337126303</v>
      </c>
      <c r="Y54" s="52">
        <f t="shared" si="22"/>
        <v>-859784.67488494725</v>
      </c>
      <c r="Z54" s="52">
        <f t="shared" si="22"/>
        <v>-900000</v>
      </c>
      <c r="AA54" s="52">
        <f t="shared" ca="1" si="22"/>
        <v>482579.63570657943</v>
      </c>
      <c r="AB54" s="52">
        <f t="shared" ca="1" si="22"/>
        <v>-5090275.4054657398</v>
      </c>
      <c r="AC54" s="51"/>
      <c r="AD54" s="52">
        <f t="shared" ref="AD54:AI54" si="23">SUM(AD39:AD51)</f>
        <v>-7198385.2364475187</v>
      </c>
      <c r="AE54" s="52">
        <f t="shared" si="23"/>
        <v>3373497.4319398641</v>
      </c>
      <c r="AF54" s="52">
        <f t="shared" si="23"/>
        <v>-827165.96092116449</v>
      </c>
      <c r="AG54" s="52">
        <f t="shared" si="23"/>
        <v>-900000</v>
      </c>
      <c r="AH54" s="52">
        <f t="shared" ca="1" si="23"/>
        <v>472044.26227478933</v>
      </c>
      <c r="AI54" s="52">
        <f t="shared" ca="1" si="23"/>
        <v>-5080009.5031540301</v>
      </c>
      <c r="AJ54" s="52"/>
      <c r="AK54" s="52"/>
      <c r="AL54" s="52"/>
      <c r="AM54" s="19"/>
      <c r="AN54" s="128"/>
      <c r="AO54" s="51"/>
    </row>
    <row r="55" spans="1:45" ht="15.3" x14ac:dyDescent="0.55000000000000004">
      <c r="A55" s="9"/>
      <c r="B55" s="24"/>
      <c r="C55" s="24"/>
      <c r="D55" s="4"/>
      <c r="E55" s="4"/>
      <c r="F55" s="4"/>
      <c r="G55" s="4"/>
      <c r="H55" s="4"/>
      <c r="I55" s="4"/>
      <c r="J55" s="24"/>
      <c r="K55" s="24"/>
      <c r="L55" s="52"/>
      <c r="M55" s="52"/>
      <c r="N55" s="4"/>
      <c r="O55" s="24"/>
      <c r="P55" s="24"/>
      <c r="Q55" s="52"/>
      <c r="R55" s="52"/>
      <c r="S55" s="51"/>
      <c r="W55" s="52"/>
      <c r="X55" s="72"/>
      <c r="Y55" s="72"/>
      <c r="Z55" s="52"/>
      <c r="AA55" s="52"/>
      <c r="AB55" s="52"/>
      <c r="AC55" s="51"/>
      <c r="AD55" s="134"/>
      <c r="AE55" s="73"/>
      <c r="AF55" s="73"/>
      <c r="AG55" s="52"/>
      <c r="AH55" s="52"/>
      <c r="AI55" s="52"/>
      <c r="AJ55" s="57"/>
      <c r="AK55" s="52"/>
      <c r="AL55" s="52"/>
      <c r="AM55" s="52"/>
      <c r="AN55" s="52"/>
      <c r="AO55" s="51"/>
    </row>
    <row r="56" spans="1:45" ht="15.3" x14ac:dyDescent="0.55000000000000004">
      <c r="A56" s="9"/>
      <c r="B56" s="24"/>
      <c r="C56" s="24"/>
      <c r="D56" s="4"/>
      <c r="E56" s="4"/>
      <c r="F56" s="4"/>
      <c r="G56" s="4"/>
      <c r="H56" s="4"/>
      <c r="I56" s="4"/>
      <c r="J56" s="24"/>
      <c r="K56" s="24"/>
      <c r="L56" s="52"/>
      <c r="M56" s="52"/>
      <c r="N56" s="4"/>
      <c r="O56" s="24"/>
      <c r="P56" s="24"/>
      <c r="Q56" s="52"/>
      <c r="R56" s="52"/>
      <c r="S56" s="51"/>
      <c r="W56" s="52"/>
      <c r="X56" s="72"/>
      <c r="Y56" s="72"/>
      <c r="Z56" s="52"/>
      <c r="AA56" s="52"/>
      <c r="AB56" s="52"/>
      <c r="AC56" s="51"/>
      <c r="AD56" s="134"/>
      <c r="AE56" s="73"/>
      <c r="AF56" s="73"/>
      <c r="AG56" s="52"/>
      <c r="AH56" s="52"/>
      <c r="AI56" s="52"/>
      <c r="AJ56" s="57"/>
      <c r="AK56" s="52"/>
      <c r="AL56" s="52"/>
      <c r="AM56" s="52"/>
      <c r="AN56" s="52"/>
      <c r="AO56" s="51"/>
    </row>
    <row r="57" spans="1:45" ht="18.3" x14ac:dyDescent="0.55000000000000004">
      <c r="A57" s="2"/>
      <c r="B57" s="143" t="s">
        <v>165</v>
      </c>
      <c r="C57" s="107"/>
      <c r="D57" s="108"/>
      <c r="H57" s="105"/>
      <c r="J57" s="2"/>
      <c r="K57" s="2"/>
      <c r="N57" s="2"/>
      <c r="O57" s="2"/>
      <c r="P57" s="2"/>
      <c r="Q57" s="2"/>
      <c r="S57" s="2"/>
      <c r="W57" s="55"/>
      <c r="X57" s="55"/>
      <c r="Y57" s="55"/>
      <c r="Z57" s="55"/>
      <c r="AA57" s="55"/>
      <c r="AB57" s="55"/>
      <c r="AC57" s="2"/>
      <c r="AD57" s="22"/>
      <c r="AE57" s="2"/>
      <c r="AF57" s="2"/>
      <c r="AG57" s="2"/>
      <c r="AH57" s="2"/>
      <c r="AI57" s="2"/>
      <c r="AJ57" s="21"/>
      <c r="AK57" s="2"/>
      <c r="AL57" s="2"/>
      <c r="AM57" s="2"/>
      <c r="AN57" s="55"/>
      <c r="AO57" s="55"/>
    </row>
    <row r="58" spans="1:45" outlineLevel="1" x14ac:dyDescent="0.55000000000000004">
      <c r="D58" s="2"/>
      <c r="E58" s="2"/>
      <c r="F58" s="2"/>
      <c r="G58" s="2"/>
      <c r="H58" s="2"/>
      <c r="I58" s="2"/>
      <c r="J58" s="2"/>
      <c r="K58" s="2"/>
      <c r="L58" s="2"/>
      <c r="M58" s="2"/>
      <c r="N58" s="2"/>
      <c r="O58" s="2"/>
      <c r="P58" s="2"/>
      <c r="Q58" s="2"/>
      <c r="R58" s="2"/>
      <c r="S58" s="2"/>
      <c r="W58" s="55"/>
      <c r="X58" s="55"/>
      <c r="Y58" s="55"/>
      <c r="Z58" s="55"/>
      <c r="AA58" s="113"/>
      <c r="AB58" s="114"/>
      <c r="AC58" s="2"/>
      <c r="AD58" s="2"/>
      <c r="AE58" s="2"/>
      <c r="AF58" s="2"/>
      <c r="AG58" s="2"/>
      <c r="AH58" s="2"/>
      <c r="AI58" s="2"/>
      <c r="AJ58" s="21"/>
      <c r="AK58" s="2"/>
      <c r="AL58" s="2"/>
      <c r="AM58" s="2"/>
      <c r="AN58" s="55"/>
      <c r="AO58" s="55"/>
    </row>
    <row r="59" spans="1:45" ht="19.899999999999999" customHeight="1" outlineLevel="1" x14ac:dyDescent="0.55000000000000004">
      <c r="B59" s="185" t="s">
        <v>67</v>
      </c>
      <c r="C59" s="185"/>
      <c r="D59" s="185"/>
      <c r="E59" s="2"/>
      <c r="F59" s="187" t="s">
        <v>127</v>
      </c>
      <c r="G59" s="187"/>
      <c r="H59" s="187"/>
      <c r="I59" s="2"/>
      <c r="J59" s="187" t="s">
        <v>69</v>
      </c>
      <c r="K59" s="187"/>
      <c r="L59" s="187"/>
      <c r="M59" s="187"/>
      <c r="N59" s="2"/>
      <c r="O59" s="187" t="s">
        <v>38</v>
      </c>
      <c r="P59" s="187"/>
      <c r="Q59" s="187"/>
      <c r="R59" s="187"/>
      <c r="S59" s="2"/>
      <c r="T59" s="190" t="s">
        <v>461</v>
      </c>
      <c r="U59" s="190"/>
      <c r="W59" s="188" t="s">
        <v>31</v>
      </c>
      <c r="X59" s="188"/>
      <c r="Y59" s="188"/>
      <c r="Z59" s="188"/>
      <c r="AA59" s="188"/>
      <c r="AB59" s="188"/>
      <c r="AC59" s="2"/>
      <c r="AD59" s="189" t="s">
        <v>32</v>
      </c>
      <c r="AE59" s="189"/>
      <c r="AF59" s="189"/>
      <c r="AG59" s="189"/>
      <c r="AH59" s="189"/>
      <c r="AI59" s="189"/>
      <c r="AJ59" s="21"/>
      <c r="AK59" s="189" t="s">
        <v>149</v>
      </c>
      <c r="AL59" s="189"/>
      <c r="AM59" s="51"/>
      <c r="AN59" s="188" t="s">
        <v>325</v>
      </c>
      <c r="AO59" s="188"/>
      <c r="AQ59" s="185" t="s">
        <v>143</v>
      </c>
      <c r="AR59" s="185"/>
      <c r="AS59" s="185"/>
    </row>
    <row r="60" spans="1:45" ht="30.6" customHeight="1" outlineLevel="1" x14ac:dyDescent="0.55000000000000004">
      <c r="B60" s="145" t="s">
        <v>145</v>
      </c>
      <c r="C60" s="145" t="s">
        <v>10</v>
      </c>
      <c r="D60" s="78" t="s">
        <v>124</v>
      </c>
      <c r="E60" s="13"/>
      <c r="F60" s="82" t="s">
        <v>127</v>
      </c>
      <c r="G60" s="82" t="s">
        <v>153</v>
      </c>
      <c r="H60" s="86" t="s">
        <v>2</v>
      </c>
      <c r="I60" s="2"/>
      <c r="J60" s="88" t="s">
        <v>125</v>
      </c>
      <c r="K60" s="88" t="s">
        <v>36</v>
      </c>
      <c r="L60" s="48" t="s">
        <v>129</v>
      </c>
      <c r="M60" s="86" t="s">
        <v>2</v>
      </c>
      <c r="N60" s="13"/>
      <c r="O60" s="91" t="s">
        <v>126</v>
      </c>
      <c r="P60" s="91" t="s">
        <v>36</v>
      </c>
      <c r="Q60" s="92" t="s">
        <v>130</v>
      </c>
      <c r="R60" s="86" t="s">
        <v>2</v>
      </c>
      <c r="S60" s="55"/>
      <c r="T60" s="91" t="s">
        <v>154</v>
      </c>
      <c r="U60" s="91" t="s">
        <v>36</v>
      </c>
      <c r="W60" s="53" t="s">
        <v>12</v>
      </c>
      <c r="X60" s="53" t="s">
        <v>34</v>
      </c>
      <c r="Y60" s="53" t="s">
        <v>35</v>
      </c>
      <c r="Z60" s="53" t="s">
        <v>41</v>
      </c>
      <c r="AA60" s="56" t="s">
        <v>119</v>
      </c>
      <c r="AB60" s="53" t="s">
        <v>1</v>
      </c>
      <c r="AC60" s="55"/>
      <c r="AD60" s="53" t="s">
        <v>12</v>
      </c>
      <c r="AE60" s="53" t="s">
        <v>34</v>
      </c>
      <c r="AF60" s="53" t="s">
        <v>35</v>
      </c>
      <c r="AG60" s="56" t="s">
        <v>41</v>
      </c>
      <c r="AH60" s="56" t="s">
        <v>119</v>
      </c>
      <c r="AI60" s="53" t="s">
        <v>1</v>
      </c>
      <c r="AJ60" s="57"/>
      <c r="AK60" s="58" t="s">
        <v>3</v>
      </c>
      <c r="AL60" s="58" t="s">
        <v>0</v>
      </c>
      <c r="AM60" s="51"/>
      <c r="AN60" s="76" t="s">
        <v>45</v>
      </c>
      <c r="AO60" s="76" t="s">
        <v>146</v>
      </c>
      <c r="AQ60" s="58" t="s">
        <v>3</v>
      </c>
      <c r="AR60" s="58" t="s">
        <v>0</v>
      </c>
      <c r="AS60" s="58" t="s">
        <v>12</v>
      </c>
    </row>
    <row r="61" spans="1:45" s="19" customFormat="1" outlineLevel="1" x14ac:dyDescent="0.55000000000000004">
      <c r="B61" s="15" t="s">
        <v>204</v>
      </c>
      <c r="C61" s="15" t="s">
        <v>205</v>
      </c>
      <c r="D61" s="16" t="s">
        <v>206</v>
      </c>
      <c r="E61" s="20"/>
      <c r="F61" s="83" t="s">
        <v>207</v>
      </c>
      <c r="G61" s="83" t="s">
        <v>208</v>
      </c>
      <c r="H61" s="18" t="s">
        <v>209</v>
      </c>
      <c r="I61" s="23"/>
      <c r="J61" s="18" t="s">
        <v>210</v>
      </c>
      <c r="K61" s="18" t="s">
        <v>211</v>
      </c>
      <c r="L61" s="18" t="s">
        <v>212</v>
      </c>
      <c r="M61" s="17" t="s">
        <v>213</v>
      </c>
      <c r="N61" s="20"/>
      <c r="O61" s="17" t="s">
        <v>214</v>
      </c>
      <c r="P61" s="17" t="s">
        <v>215</v>
      </c>
      <c r="Q61" s="17" t="s">
        <v>216</v>
      </c>
      <c r="R61" s="142" t="s">
        <v>217</v>
      </c>
      <c r="S61" s="61"/>
      <c r="T61" s="17" t="s">
        <v>218</v>
      </c>
      <c r="U61" s="17" t="s">
        <v>219</v>
      </c>
      <c r="W61" s="60" t="s">
        <v>220</v>
      </c>
      <c r="X61" s="60" t="s">
        <v>221</v>
      </c>
      <c r="Y61" s="60" t="s">
        <v>222</v>
      </c>
      <c r="Z61" s="60" t="s">
        <v>223</v>
      </c>
      <c r="AA61" s="60" t="s">
        <v>224</v>
      </c>
      <c r="AB61" s="60" t="s">
        <v>225</v>
      </c>
      <c r="AC61" s="61"/>
      <c r="AD61" s="60" t="s">
        <v>226</v>
      </c>
      <c r="AE61" s="60" t="s">
        <v>227</v>
      </c>
      <c r="AF61" s="60" t="s">
        <v>228</v>
      </c>
      <c r="AG61" s="60" t="s">
        <v>229</v>
      </c>
      <c r="AH61" s="60" t="s">
        <v>230</v>
      </c>
      <c r="AI61" s="60" t="s">
        <v>231</v>
      </c>
      <c r="AJ61" s="62"/>
      <c r="AK61" s="60" t="s">
        <v>232</v>
      </c>
      <c r="AL61" s="60" t="s">
        <v>233</v>
      </c>
      <c r="AN61" s="60" t="s">
        <v>234</v>
      </c>
      <c r="AO61" s="60" t="s">
        <v>235</v>
      </c>
      <c r="AQ61" s="60" t="s">
        <v>236</v>
      </c>
      <c r="AR61" s="60" t="s">
        <v>237</v>
      </c>
      <c r="AS61" s="60" t="s">
        <v>238</v>
      </c>
    </row>
    <row r="62" spans="1:45" outlineLevel="1" x14ac:dyDescent="0.55000000000000004">
      <c r="B62" s="1"/>
      <c r="C62" s="3">
        <v>0</v>
      </c>
      <c r="D62" s="87">
        <v>1</v>
      </c>
      <c r="E62" s="2"/>
      <c r="F62" s="84">
        <v>1</v>
      </c>
      <c r="G62" s="84"/>
      <c r="H62" s="5"/>
      <c r="I62" s="2"/>
      <c r="J62" s="2"/>
      <c r="K62" s="2"/>
      <c r="L62" s="55"/>
      <c r="M62" s="55"/>
      <c r="N62" s="2"/>
      <c r="O62" s="10"/>
      <c r="P62" s="10"/>
      <c r="Q62" s="49"/>
      <c r="R62" s="55"/>
      <c r="S62" s="55"/>
      <c r="T62" s="2"/>
      <c r="U62" s="2"/>
      <c r="W62" s="63">
        <f t="shared" ref="W62:W74" si="24">IFERROR(IF(C62&gt;=$F$7*4,0,-IF($F$22="pattern",U63*$F$21,IF(AND($F$22="single",C62=0),$F$21,IF(AND($F$22="annual",MOD(C62,4)=0),$F$21/$F$7,IF(AND($F$22="semi-ann",MOD(C62,2)=0),$F$21/(2*$F$7),IF($F$22="quarterly",$F$21/(4*$F$7),0)))))*F62),0)</f>
        <v>-3000000</v>
      </c>
      <c r="X62" s="63"/>
      <c r="Y62" s="63"/>
      <c r="Z62" s="63">
        <f>-$F$13*$F$21</f>
        <v>-900000</v>
      </c>
      <c r="AA62" s="63"/>
      <c r="AB62" s="64">
        <f>SUM(W62:AA62)</f>
        <v>-3900000</v>
      </c>
      <c r="AC62" s="55"/>
      <c r="AD62" s="64">
        <f t="shared" ref="AD62:AD74" si="25">W62*$D62</f>
        <v>-3000000</v>
      </c>
      <c r="AE62" s="64"/>
      <c r="AF62" s="64"/>
      <c r="AG62" s="64">
        <f t="shared" ref="AG62:AG74" si="26">Z62*$D62</f>
        <v>-900000</v>
      </c>
      <c r="AH62" s="64"/>
      <c r="AI62" s="64">
        <f>SUM(AD62:AH62)</f>
        <v>-3900000</v>
      </c>
      <c r="AJ62" s="57"/>
      <c r="AK62" s="51">
        <f ca="1">SUM(AD62:AD$74,AG62:AG$74)/D62+SUM(AE63:AF$75,AH63:AH$74)/D62</f>
        <v>-5190633.6431383369</v>
      </c>
      <c r="AL62" s="51">
        <f>SUM(AE63:$AF$75)*$G$14/D62</f>
        <v>91071.455078443614</v>
      </c>
      <c r="AM62" s="51"/>
      <c r="AN62" s="51">
        <f ca="1">-SUM(AD62:$AD$75,AH62:$AH$75)/D62</f>
        <v>7326348.8124197898</v>
      </c>
      <c r="AO62" s="51">
        <f ca="1">-SUM(W62:$W$75,AA62:$AA$75)</f>
        <v>7461370.6722994819</v>
      </c>
      <c r="AQ62" s="9">
        <f t="shared" ref="AQ62:AQ74" ca="1" si="27">AK62-AK39</f>
        <v>-110624.13998430688</v>
      </c>
      <c r="AR62" s="9">
        <f t="shared" ref="AR62:AR74" si="28">AL62-AL39</f>
        <v>-36245.118472491391</v>
      </c>
      <c r="AS62" s="9">
        <f t="shared" ref="AS62:AS74" ca="1" si="29">IF($F$27="yes",AN62-AN39,AO62-AO39)</f>
        <v>600007.83824705984</v>
      </c>
    </row>
    <row r="63" spans="1:45" outlineLevel="1" x14ac:dyDescent="0.55000000000000004">
      <c r="A63" s="9"/>
      <c r="B63" s="1" t="s">
        <v>6</v>
      </c>
      <c r="C63" s="3">
        <v>1</v>
      </c>
      <c r="D63" s="87">
        <f>D62/(1+$F$17)^(1/4)</f>
        <v>0.99506157747984325</v>
      </c>
      <c r="E63" s="4"/>
      <c r="F63" s="84">
        <f t="shared" ref="F63:F74" si="30">(1-IF(C63&lt;$F$8,$F$19,$G$19))^(C63/4)</f>
        <v>0.94574160900317583</v>
      </c>
      <c r="G63" s="84">
        <f>AVERAGE(F62:F63)</f>
        <v>0.97287080450158792</v>
      </c>
      <c r="H63" s="153">
        <f>F63*D63</f>
        <v>0.94107113734302528</v>
      </c>
      <c r="I63" s="4"/>
      <c r="J63" s="98">
        <v>1</v>
      </c>
      <c r="K63" s="94">
        <f>J63/$J$77</f>
        <v>8.3333333333333329E-2</v>
      </c>
      <c r="L63" s="47">
        <f>J63*G63</f>
        <v>0.97287080450158792</v>
      </c>
      <c r="M63" s="47">
        <f>L63*D63</f>
        <v>0.96806635741143421</v>
      </c>
      <c r="N63" s="4"/>
      <c r="O63" s="98">
        <v>1</v>
      </c>
      <c r="P63" s="94">
        <f>O63/$O$77</f>
        <v>8.3333333333333329E-2</v>
      </c>
      <c r="Q63" s="154">
        <f>O63*G63</f>
        <v>0.97287080450158792</v>
      </c>
      <c r="R63" s="154">
        <f>Q63*D63</f>
        <v>0.96806635741143421</v>
      </c>
      <c r="S63" s="51"/>
      <c r="T63" s="137">
        <v>0.20282873599525819</v>
      </c>
      <c r="U63" s="135">
        <f>T63/$T$77</f>
        <v>0.20282873599525819</v>
      </c>
      <c r="W63" s="63">
        <f t="shared" si="24"/>
        <v>0</v>
      </c>
      <c r="X63" s="63">
        <f>$F$21*IF(C63&lt;$F$8,$F$11,$G$11)*P63*((1+$F$18)^(MIN($F$8-1,C63)/4))*((1+$G$18)^(MAX(0,C63-$F$8+1)/4))*F63</f>
        <v>426643.71662943577</v>
      </c>
      <c r="Y63" s="63">
        <f>-$F$21*IF(C63&lt;$F$8,$F$12,$G$12)*IF($F$28="risk",P63*F63,IF($F$28="policies IF",F63/($F$7*4),1/($F$7*4)))</f>
        <v>-106395.93101285727</v>
      </c>
      <c r="Z63" s="63">
        <v>0</v>
      </c>
      <c r="AA63" s="63">
        <f t="shared" ref="AA63:AA74" ca="1" si="31">IF($F$25="no",0,1)*(F63-F62)*OFFSET(W63,-IF($F$22="single",C63,IF($F$22="annual",MOD(C63,4),IF($F$22="semi-ann",MOD(C63,2),0))),0)*IF($F$22="single",($F$7*4-C63)/($F$7*4),IF(AND($F$22="annual",MOD(C63,4)&lt;&gt;0),(4-MOD(C63,4))/4,IF(AND($F$22="semi-ann",MOD(C63,2)&lt;&gt;0),0.5,0)))</f>
        <v>122081.37974285436</v>
      </c>
      <c r="AB63" s="64">
        <f t="shared" ref="AB63:AB74" ca="1" si="32">SUM(W63:AA63)</f>
        <v>442329.16535943293</v>
      </c>
      <c r="AC63" s="51"/>
      <c r="AD63" s="51">
        <f t="shared" si="25"/>
        <v>0</v>
      </c>
      <c r="AE63" s="64">
        <f t="shared" ref="AE63:AE74" si="33">X63*$D63</f>
        <v>424536.76969114959</v>
      </c>
      <c r="AF63" s="64">
        <f t="shared" ref="AF63:AF74" si="34">Y63*$D63</f>
        <v>-105870.50295109033</v>
      </c>
      <c r="AG63" s="51">
        <f t="shared" si="26"/>
        <v>0</v>
      </c>
      <c r="AH63" s="64">
        <f t="shared" ref="AH63:AH74" ca="1" si="35">AA63*$D63</f>
        <v>121478.49030784045</v>
      </c>
      <c r="AI63" s="64">
        <f t="shared" ref="AI63:AI74" ca="1" si="36">SUM(AD63:AH63)</f>
        <v>440144.75704789971</v>
      </c>
      <c r="AJ63" s="57"/>
      <c r="AK63" s="51">
        <f ca="1">SUM(AD63:AD$74,AG63:AG$74)/D63+SUM(AE64:AF$75,AH64:AH$74)/D63</f>
        <v>-1739368.1349547408</v>
      </c>
      <c r="AL63" s="51">
        <f>SUM(AE64:$AF$75)*$G$14/D63</f>
        <v>81916.002909772666</v>
      </c>
      <c r="AM63" s="51"/>
      <c r="AN63" s="51">
        <f ca="1">-SUM(AD63:$AD$75,AH63:$AH$75)/D63</f>
        <v>4347820.1855376409</v>
      </c>
      <c r="AO63" s="51">
        <f ca="1">-SUM(W63:$W$75,AA63:$AA$75)</f>
        <v>4461370.6722994819</v>
      </c>
      <c r="AQ63" s="9">
        <f t="shared" ca="1" si="27"/>
        <v>-382152.05554311536</v>
      </c>
      <c r="AR63" s="9">
        <f t="shared" si="28"/>
        <v>-43568.989579087502</v>
      </c>
      <c r="AS63" s="9">
        <f t="shared" ca="1" si="29"/>
        <v>602985.6360916663</v>
      </c>
    </row>
    <row r="64" spans="1:45" outlineLevel="1" x14ac:dyDescent="0.55000000000000004">
      <c r="A64" s="9"/>
      <c r="B64" s="1" t="s">
        <v>7</v>
      </c>
      <c r="C64" s="3">
        <v>2</v>
      </c>
      <c r="D64" s="87">
        <f t="shared" ref="D64:D74" si="37">D63/(1+$F$17)^(1/4)</f>
        <v>0.99014754297667418</v>
      </c>
      <c r="E64" s="4"/>
      <c r="F64" s="84">
        <f t="shared" si="30"/>
        <v>0.89442719099991586</v>
      </c>
      <c r="G64" s="84">
        <f t="shared" ref="G64:G74" si="38">AVERAGE(F63:F64)</f>
        <v>0.92008440000154579</v>
      </c>
      <c r="H64" s="153">
        <f t="shared" ref="H64:H74" si="39">F64*D64</f>
        <v>0.88561488554009515</v>
      </c>
      <c r="I64" s="4"/>
      <c r="J64" s="98">
        <v>1</v>
      </c>
      <c r="K64" s="94">
        <f t="shared" ref="K64:K74" si="40">J64/$J$77</f>
        <v>8.3333333333333329E-2</v>
      </c>
      <c r="L64" s="47">
        <f t="shared" ref="L64:L74" si="41">J64*G64</f>
        <v>0.92008440000154579</v>
      </c>
      <c r="M64" s="47">
        <f t="shared" ref="M64:M74" si="42">L64*D64</f>
        <v>0.91101930799269804</v>
      </c>
      <c r="N64" s="4"/>
      <c r="O64" s="98">
        <v>1</v>
      </c>
      <c r="P64" s="94">
        <f t="shared" ref="P64:P74" si="43">O64/$O$77</f>
        <v>8.3333333333333329E-2</v>
      </c>
      <c r="Q64" s="154">
        <f t="shared" ref="Q64:Q74" si="44">O64*G64</f>
        <v>0.92008440000154579</v>
      </c>
      <c r="R64" s="154">
        <f t="shared" ref="R64:R74" si="45">Q64*D64</f>
        <v>0.91101930799269804</v>
      </c>
      <c r="S64" s="51"/>
      <c r="T64" s="137">
        <v>0.17818906429460918</v>
      </c>
      <c r="U64" s="135">
        <f t="shared" ref="U64:U74" si="46">T64/$T$77</f>
        <v>0.17818906429460918</v>
      </c>
      <c r="W64" s="63">
        <f t="shared" si="24"/>
        <v>0</v>
      </c>
      <c r="X64" s="63">
        <f t="shared" ref="X64:X74" si="47">$F$21*IF(C64&lt;$F$8,$F$11,$G$11)*P64*((1+$F$18)^(MIN($F$8-1,C64)/4))*((1+$G$18)^(MAX(0,C64-$F$8+1)/4))*F64</f>
        <v>404499.69097639614</v>
      </c>
      <c r="Y64" s="63">
        <f t="shared" ref="Y64:Y74" si="48">-$F$21*IF(C64&lt;$F$8,$F$12,$G$12)*IF($F$28="risk",P64*F64,IF($F$28="policies IF",F64/($F$7*4),1/($F$7*4)))</f>
        <v>-100623.05898749053</v>
      </c>
      <c r="Z64" s="63">
        <v>0</v>
      </c>
      <c r="AA64" s="63">
        <f t="shared" ca="1" si="31"/>
        <v>76971.627004889961</v>
      </c>
      <c r="AB64" s="64">
        <f t="shared" ca="1" si="32"/>
        <v>380848.25899379555</v>
      </c>
      <c r="AC64" s="51"/>
      <c r="AD64" s="51">
        <f t="shared" si="25"/>
        <v>0</v>
      </c>
      <c r="AE64" s="64">
        <f t="shared" si="33"/>
        <v>400514.37515510264</v>
      </c>
      <c r="AF64" s="64">
        <f t="shared" si="34"/>
        <v>-99631.674623260697</v>
      </c>
      <c r="AG64" s="51">
        <f t="shared" si="26"/>
        <v>0</v>
      </c>
      <c r="AH64" s="64">
        <f t="shared" ca="1" si="35"/>
        <v>76213.267357808814</v>
      </c>
      <c r="AI64" s="64">
        <f t="shared" ca="1" si="36"/>
        <v>377095.96788965078</v>
      </c>
      <c r="AJ64" s="57"/>
      <c r="AK64" s="51">
        <f ca="1">SUM(AD64:AD$74,AG64:AG$74)/D64+SUM(AE65:AF$75,AH65:AH$74)/D64</f>
        <v>-2128848.758982928</v>
      </c>
      <c r="AL64" s="51">
        <f>SUM(AE65:$AF$75)*$G$14/D64</f>
        <v>73206.247467297071</v>
      </c>
      <c r="AM64" s="51"/>
      <c r="AN64" s="51">
        <f ca="1">-SUM(AD64:$AD$75,AH64:$AH$75)/D64</f>
        <v>4492085.3808879387</v>
      </c>
      <c r="AO64" s="51">
        <f ca="1">-SUM(W64:$W$75,AA64:$AA$75)</f>
        <v>4583452.0520423362</v>
      </c>
      <c r="AQ64" s="9">
        <f t="shared" ca="1" si="27"/>
        <v>-594424.77988380753</v>
      </c>
      <c r="AR64" s="9">
        <f t="shared" si="28"/>
        <v>-48226.493345227675</v>
      </c>
      <c r="AS64" s="9">
        <f t="shared" ca="1" si="29"/>
        <v>605978.21254321374</v>
      </c>
    </row>
    <row r="65" spans="1:45" outlineLevel="1" x14ac:dyDescent="0.55000000000000004">
      <c r="A65" s="9"/>
      <c r="B65" s="1" t="s">
        <v>8</v>
      </c>
      <c r="C65" s="3">
        <v>3</v>
      </c>
      <c r="D65" s="87">
        <f t="shared" si="37"/>
        <v>0.98525777605216036</v>
      </c>
      <c r="E65" s="4"/>
      <c r="F65" s="84">
        <f t="shared" si="30"/>
        <v>0.84589701075245127</v>
      </c>
      <c r="G65" s="84">
        <f t="shared" si="38"/>
        <v>0.87016210087618351</v>
      </c>
      <c r="H65" s="153">
        <f t="shared" si="39"/>
        <v>0.83342660758313047</v>
      </c>
      <c r="I65" s="4"/>
      <c r="J65" s="98">
        <v>1</v>
      </c>
      <c r="K65" s="94">
        <f t="shared" si="40"/>
        <v>8.3333333333333329E-2</v>
      </c>
      <c r="L65" s="47">
        <f t="shared" si="41"/>
        <v>0.87016210087618351</v>
      </c>
      <c r="M65" s="47">
        <f t="shared" si="42"/>
        <v>0.85733397631414421</v>
      </c>
      <c r="N65" s="4"/>
      <c r="O65" s="98">
        <v>1</v>
      </c>
      <c r="P65" s="94">
        <f t="shared" si="43"/>
        <v>8.3333333333333329E-2</v>
      </c>
      <c r="Q65" s="154">
        <f t="shared" si="44"/>
        <v>0.87016210087618351</v>
      </c>
      <c r="R65" s="154">
        <f t="shared" si="45"/>
        <v>0.85733397631414421</v>
      </c>
      <c r="S65" s="51"/>
      <c r="T65" s="137">
        <v>0.20194032380116383</v>
      </c>
      <c r="U65" s="135">
        <f t="shared" si="46"/>
        <v>0.20194032380116383</v>
      </c>
      <c r="W65" s="63">
        <f t="shared" si="24"/>
        <v>0</v>
      </c>
      <c r="X65" s="63">
        <f t="shared" si="47"/>
        <v>383505.00340806198</v>
      </c>
      <c r="Y65" s="63">
        <f t="shared" si="48"/>
        <v>-95163.413709650762</v>
      </c>
      <c r="Z65" s="63">
        <v>0</v>
      </c>
      <c r="AA65" s="63">
        <f t="shared" ca="1" si="31"/>
        <v>36397.635185598439</v>
      </c>
      <c r="AB65" s="64">
        <f t="shared" ca="1" si="32"/>
        <v>324739.22488400969</v>
      </c>
      <c r="AC65" s="51"/>
      <c r="AD65" s="51">
        <f t="shared" si="25"/>
        <v>0</v>
      </c>
      <c r="AE65" s="64">
        <f t="shared" si="33"/>
        <v>377851.28676270333</v>
      </c>
      <c r="AF65" s="64">
        <f t="shared" si="34"/>
        <v>-93760.493353102182</v>
      </c>
      <c r="AG65" s="51">
        <f t="shared" si="26"/>
        <v>0</v>
      </c>
      <c r="AH65" s="64">
        <f t="shared" ca="1" si="35"/>
        <v>35861.053096520576</v>
      </c>
      <c r="AI65" s="64">
        <f t="shared" ca="1" si="36"/>
        <v>319951.84650612174</v>
      </c>
      <c r="AJ65" s="57"/>
      <c r="AK65" s="51">
        <f ca="1">SUM(AD65:AD$74,AG65:AG$74)/D65+SUM(AE66:AF$75,AH66:AH$74)/D65</f>
        <v>-2464153.3145874692</v>
      </c>
      <c r="AL65" s="51">
        <f>SUM(AE66:$AF$75)*$G$14/D65</f>
        <v>64919.317373255966</v>
      </c>
      <c r="AM65" s="51"/>
      <c r="AN65" s="51">
        <f ca="1">-SUM(AD65:$AD$75,AH65:$AH$75)/D65</f>
        <v>4591732.9251770684</v>
      </c>
      <c r="AO65" s="51">
        <f ca="1">-SUM(W65:$W$75,AA65:$AA$75)</f>
        <v>4660423.679047226</v>
      </c>
      <c r="AQ65" s="9">
        <f t="shared" ca="1" si="27"/>
        <v>-752635.7253832384</v>
      </c>
      <c r="AR65" s="9">
        <f t="shared" si="28"/>
        <v>-50462.049137319962</v>
      </c>
      <c r="AS65" s="9">
        <f t="shared" ca="1" si="29"/>
        <v>608985.64094691817</v>
      </c>
    </row>
    <row r="66" spans="1:45" outlineLevel="1" x14ac:dyDescent="0.55000000000000004">
      <c r="A66" s="9"/>
      <c r="B66" s="1" t="s">
        <v>9</v>
      </c>
      <c r="C66" s="3">
        <v>4</v>
      </c>
      <c r="D66" s="87">
        <f t="shared" si="37"/>
        <v>0.98039215686274483</v>
      </c>
      <c r="E66" s="4"/>
      <c r="F66" s="84">
        <f t="shared" si="30"/>
        <v>0.8</v>
      </c>
      <c r="G66" s="84">
        <f t="shared" si="38"/>
        <v>0.82294850537622566</v>
      </c>
      <c r="H66" s="153">
        <f t="shared" si="39"/>
        <v>0.78431372549019596</v>
      </c>
      <c r="I66" s="4"/>
      <c r="J66" s="98">
        <v>1</v>
      </c>
      <c r="K66" s="94">
        <f t="shared" si="40"/>
        <v>8.3333333333333329E-2</v>
      </c>
      <c r="L66" s="47">
        <f t="shared" si="41"/>
        <v>0.82294850537622566</v>
      </c>
      <c r="M66" s="47">
        <f t="shared" si="42"/>
        <v>0.80681226017277008</v>
      </c>
      <c r="N66" s="4"/>
      <c r="O66" s="98">
        <v>1</v>
      </c>
      <c r="P66" s="94">
        <f t="shared" si="43"/>
        <v>8.3333333333333329E-2</v>
      </c>
      <c r="Q66" s="154">
        <f t="shared" si="44"/>
        <v>0.82294850537622566</v>
      </c>
      <c r="R66" s="154">
        <f t="shared" si="45"/>
        <v>0.80681226017277008</v>
      </c>
      <c r="S66" s="51"/>
      <c r="T66" s="137">
        <v>0.20709640104961757</v>
      </c>
      <c r="U66" s="135">
        <f t="shared" si="46"/>
        <v>0.20709640104961757</v>
      </c>
      <c r="W66" s="63">
        <f t="shared" si="24"/>
        <v>-2400000</v>
      </c>
      <c r="X66" s="63">
        <f t="shared" si="47"/>
        <v>363600</v>
      </c>
      <c r="Y66" s="63">
        <f t="shared" si="48"/>
        <v>-90000</v>
      </c>
      <c r="Z66" s="63">
        <v>0</v>
      </c>
      <c r="AA66" s="63">
        <f t="shared" ca="1" si="31"/>
        <v>0</v>
      </c>
      <c r="AB66" s="64">
        <f t="shared" ca="1" si="32"/>
        <v>-2126400</v>
      </c>
      <c r="AC66" s="51"/>
      <c r="AD66" s="51">
        <f t="shared" si="25"/>
        <v>-2352941.1764705875</v>
      </c>
      <c r="AE66" s="64">
        <f t="shared" si="33"/>
        <v>356470.58823529404</v>
      </c>
      <c r="AF66" s="64">
        <f t="shared" si="34"/>
        <v>-88235.294117647034</v>
      </c>
      <c r="AG66" s="51">
        <f t="shared" si="26"/>
        <v>0</v>
      </c>
      <c r="AH66" s="64">
        <f t="shared" ca="1" si="35"/>
        <v>0</v>
      </c>
      <c r="AI66" s="64">
        <f t="shared" ca="1" si="36"/>
        <v>-2084705.8823529405</v>
      </c>
      <c r="AJ66" s="57"/>
      <c r="AK66" s="51">
        <f ca="1">SUM(AD66:AD$74,AG66:AG$74)/D66+SUM(AE67:AF$75,AH67:AH$74)/D66</f>
        <v>-2749982.7388736494</v>
      </c>
      <c r="AL66" s="51">
        <f>SUM(AE67:$AF$75)*$G$14/D66</f>
        <v>57033.507503158529</v>
      </c>
      <c r="AM66" s="51"/>
      <c r="AN66" s="51">
        <f ca="1">-SUM(AD66:$AD$75,AH66:$AH$75)/D66</f>
        <v>4651099.6556456005</v>
      </c>
      <c r="AO66" s="51">
        <f ca="1">-SUM(W66:$W$75,AA66:$AA$75)</f>
        <v>4696821.3142328244</v>
      </c>
      <c r="AQ66" s="9">
        <f t="shared" ca="1" si="27"/>
        <v>-861601.77421863284</v>
      </c>
      <c r="AR66" s="9">
        <f t="shared" si="28"/>
        <v>-50502.027295770604</v>
      </c>
      <c r="AS66" s="9">
        <f t="shared" ca="1" si="29"/>
        <v>612007.9950120016</v>
      </c>
    </row>
    <row r="67" spans="1:45" outlineLevel="1" x14ac:dyDescent="0.55000000000000004">
      <c r="A67" s="9"/>
      <c r="B67" s="1" t="s">
        <v>15</v>
      </c>
      <c r="C67" s="3">
        <v>5</v>
      </c>
      <c r="D67" s="87">
        <f t="shared" si="37"/>
        <v>0.97555056615670888</v>
      </c>
      <c r="E67" s="4"/>
      <c r="F67" s="84">
        <f t="shared" si="30"/>
        <v>0.75659328720254071</v>
      </c>
      <c r="G67" s="84">
        <f t="shared" si="38"/>
        <v>0.77829664360127038</v>
      </c>
      <c r="H67" s="153">
        <f t="shared" si="39"/>
        <v>0.73809500968080399</v>
      </c>
      <c r="I67" s="4"/>
      <c r="J67" s="98">
        <v>1</v>
      </c>
      <c r="K67" s="94">
        <f t="shared" si="40"/>
        <v>8.3333333333333329E-2</v>
      </c>
      <c r="L67" s="47">
        <f t="shared" si="41"/>
        <v>0.77829664360127038</v>
      </c>
      <c r="M67" s="47">
        <f t="shared" si="42"/>
        <v>0.75926773130308556</v>
      </c>
      <c r="N67" s="4"/>
      <c r="O67" s="98">
        <v>1</v>
      </c>
      <c r="P67" s="94">
        <f t="shared" si="43"/>
        <v>8.3333333333333329E-2</v>
      </c>
      <c r="Q67" s="154">
        <f t="shared" si="44"/>
        <v>0.77829664360127038</v>
      </c>
      <c r="R67" s="154">
        <f t="shared" si="45"/>
        <v>0.75926773130308556</v>
      </c>
      <c r="S67" s="51"/>
      <c r="T67" s="137">
        <v>8.3175297485096111E-2</v>
      </c>
      <c r="U67" s="135">
        <f t="shared" si="46"/>
        <v>8.3175297485096111E-2</v>
      </c>
      <c r="W67" s="63">
        <f t="shared" si="24"/>
        <v>0</v>
      </c>
      <c r="X67" s="63">
        <f t="shared" si="47"/>
        <v>344728.12303658418</v>
      </c>
      <c r="Y67" s="63">
        <f t="shared" si="48"/>
        <v>-85116.744810285833</v>
      </c>
      <c r="Z67" s="63">
        <v>0</v>
      </c>
      <c r="AA67" s="63">
        <f t="shared" ca="1" si="31"/>
        <v>78132.083035426811</v>
      </c>
      <c r="AB67" s="64">
        <f t="shared" ca="1" si="32"/>
        <v>337743.46126172517</v>
      </c>
      <c r="AC67" s="51"/>
      <c r="AD67" s="51">
        <f t="shared" si="25"/>
        <v>0</v>
      </c>
      <c r="AE67" s="64">
        <f t="shared" si="33"/>
        <v>336299.71559847926</v>
      </c>
      <c r="AF67" s="64">
        <f t="shared" si="34"/>
        <v>-83035.688589090452</v>
      </c>
      <c r="AG67" s="51">
        <f t="shared" si="26"/>
        <v>0</v>
      </c>
      <c r="AH67" s="64">
        <f t="shared" ca="1" si="35"/>
        <v>76221.797840213621</v>
      </c>
      <c r="AI67" s="64">
        <f t="shared" ca="1" si="36"/>
        <v>329485.82484960242</v>
      </c>
      <c r="AJ67" s="57"/>
      <c r="AK67" s="51">
        <f ca="1">SUM(AD67:AD$74,AG67:AG$74)/D67+SUM(AE68:AF$75,AH68:AH$74)/D67</f>
        <v>-689463.14052020735</v>
      </c>
      <c r="AL67" s="51">
        <f>SUM(AE68:$AF$75)*$G$14/D67</f>
        <v>49528.219551487557</v>
      </c>
      <c r="AM67" s="51"/>
      <c r="AN67" s="51">
        <f ca="1">-SUM(AD67:$AD$75,AH67:$AH$75)/D67</f>
        <v>2262271.7092010337</v>
      </c>
      <c r="AO67" s="51">
        <f ca="1">-SUM(W67:$W$75,AA67:$AA$75)</f>
        <v>2296821.3142328248</v>
      </c>
      <c r="AQ67" s="9">
        <f t="shared" ca="1" si="27"/>
        <v>-925788.16291965451</v>
      </c>
      <c r="AR67" s="9">
        <f t="shared" si="28"/>
        <v>-48555.953739632758</v>
      </c>
      <c r="AS67" s="9">
        <f t="shared" ca="1" si="29"/>
        <v>615045.34881350142</v>
      </c>
    </row>
    <row r="68" spans="1:45" outlineLevel="1" x14ac:dyDescent="0.55000000000000004">
      <c r="A68" s="9"/>
      <c r="B68" s="1" t="s">
        <v>16</v>
      </c>
      <c r="C68" s="3">
        <v>6</v>
      </c>
      <c r="D68" s="87">
        <f t="shared" si="37"/>
        <v>0.9707328852712489</v>
      </c>
      <c r="E68" s="4"/>
      <c r="F68" s="84">
        <f t="shared" si="30"/>
        <v>0.71554175279993271</v>
      </c>
      <c r="G68" s="84">
        <f t="shared" si="38"/>
        <v>0.73606752000123676</v>
      </c>
      <c r="H68" s="153">
        <f t="shared" si="39"/>
        <v>0.69459991022752543</v>
      </c>
      <c r="I68" s="4"/>
      <c r="J68" s="98">
        <v>1</v>
      </c>
      <c r="K68" s="94">
        <f t="shared" si="40"/>
        <v>8.3333333333333329E-2</v>
      </c>
      <c r="L68" s="47">
        <f t="shared" si="41"/>
        <v>0.73606752000123676</v>
      </c>
      <c r="M68" s="47">
        <f t="shared" si="42"/>
        <v>0.7145249474452533</v>
      </c>
      <c r="N68" s="4"/>
      <c r="O68" s="98">
        <v>1</v>
      </c>
      <c r="P68" s="94">
        <f t="shared" si="43"/>
        <v>8.3333333333333329E-2</v>
      </c>
      <c r="Q68" s="154">
        <f t="shared" si="44"/>
        <v>0.73606752000123676</v>
      </c>
      <c r="R68" s="154">
        <f t="shared" si="45"/>
        <v>0.7145249474452533</v>
      </c>
      <c r="S68" s="51"/>
      <c r="T68" s="137">
        <v>5.1890782453176132E-2</v>
      </c>
      <c r="U68" s="135">
        <f t="shared" si="46"/>
        <v>5.1890782453176132E-2</v>
      </c>
      <c r="W68" s="63">
        <f t="shared" si="24"/>
        <v>0</v>
      </c>
      <c r="X68" s="63">
        <f t="shared" si="47"/>
        <v>326835.75030892808</v>
      </c>
      <c r="Y68" s="63">
        <f t="shared" si="48"/>
        <v>-80498.447189992425</v>
      </c>
      <c r="Z68" s="63">
        <v>0</v>
      </c>
      <c r="AA68" s="63">
        <f t="shared" ca="1" si="31"/>
        <v>49261.841283129601</v>
      </c>
      <c r="AB68" s="64">
        <f t="shared" ca="1" si="32"/>
        <v>295599.14440206526</v>
      </c>
      <c r="AC68" s="51"/>
      <c r="AD68" s="51">
        <f t="shared" si="25"/>
        <v>0</v>
      </c>
      <c r="AE68" s="64">
        <f t="shared" si="33"/>
        <v>317270.21090717922</v>
      </c>
      <c r="AF68" s="64">
        <f t="shared" si="34"/>
        <v>-78142.4899005966</v>
      </c>
      <c r="AG68" s="51">
        <f t="shared" si="26"/>
        <v>0</v>
      </c>
      <c r="AH68" s="64">
        <f t="shared" ca="1" si="35"/>
        <v>47820.089322546723</v>
      </c>
      <c r="AI68" s="64">
        <f t="shared" ca="1" si="36"/>
        <v>286947.81032912934</v>
      </c>
      <c r="AJ68" s="57"/>
      <c r="AK68" s="51">
        <f ca="1">SUM(AD68:AD$74,AG68:AG$74)/D68+SUM(AE69:AF$75,AH69:AH$74)/D68</f>
        <v>-988484.04331092117</v>
      </c>
      <c r="AL68" s="51">
        <f>SUM(AE69:$AF$75)*$G$14/D68</f>
        <v>42383.905622496139</v>
      </c>
      <c r="AM68" s="51"/>
      <c r="AN68" s="51">
        <f ca="1">-SUM(AD68:$AD$75,AH68:$AH$75)/D68</f>
        <v>2352019.0561109968</v>
      </c>
      <c r="AO68" s="51">
        <f ca="1">-SUM(W68:$W$75,AA68:$AA$75)</f>
        <v>2374953.3972682515</v>
      </c>
      <c r="AQ68" s="9">
        <f t="shared" ca="1" si="27"/>
        <v>-949331.80954034836</v>
      </c>
      <c r="AR68" s="9">
        <f t="shared" si="28"/>
        <v>-44817.638718977556</v>
      </c>
      <c r="AS68" s="9">
        <f t="shared" ca="1" si="29"/>
        <v>618097.77679407992</v>
      </c>
    </row>
    <row r="69" spans="1:45" outlineLevel="1" x14ac:dyDescent="0.55000000000000004">
      <c r="A69" s="9"/>
      <c r="B69" s="1" t="s">
        <v>17</v>
      </c>
      <c r="C69" s="3">
        <v>7</v>
      </c>
      <c r="D69" s="87">
        <f t="shared" si="37"/>
        <v>0.96593899612956868</v>
      </c>
      <c r="E69" s="4"/>
      <c r="F69" s="84">
        <f t="shared" si="30"/>
        <v>0.83161897782507621</v>
      </c>
      <c r="G69" s="84">
        <f t="shared" si="38"/>
        <v>0.7735803653125044</v>
      </c>
      <c r="H69" s="153">
        <f t="shared" si="39"/>
        <v>0.80329320060265219</v>
      </c>
      <c r="I69" s="4"/>
      <c r="J69" s="98">
        <v>1</v>
      </c>
      <c r="K69" s="94">
        <f t="shared" si="40"/>
        <v>8.3333333333333329E-2</v>
      </c>
      <c r="L69" s="47">
        <f t="shared" si="41"/>
        <v>0.7735803653125044</v>
      </c>
      <c r="M69" s="47">
        <f t="shared" si="42"/>
        <v>0.74723144149550547</v>
      </c>
      <c r="N69" s="4"/>
      <c r="O69" s="98">
        <v>1</v>
      </c>
      <c r="P69" s="94">
        <f t="shared" si="43"/>
        <v>8.3333333333333329E-2</v>
      </c>
      <c r="Q69" s="154">
        <f t="shared" si="44"/>
        <v>0.7735803653125044</v>
      </c>
      <c r="R69" s="154">
        <f t="shared" si="45"/>
        <v>0.74723144149550547</v>
      </c>
      <c r="S69" s="51"/>
      <c r="T69" s="137">
        <v>2.7830892374108518E-2</v>
      </c>
      <c r="U69" s="135">
        <f t="shared" si="46"/>
        <v>2.7830892374108518E-2</v>
      </c>
      <c r="W69" s="63">
        <f t="shared" si="24"/>
        <v>0</v>
      </c>
      <c r="X69" s="63">
        <f t="shared" si="47"/>
        <v>316941.59221930109</v>
      </c>
      <c r="Y69" s="63">
        <f t="shared" si="48"/>
        <v>-62371.423336880711</v>
      </c>
      <c r="Z69" s="63">
        <v>0</v>
      </c>
      <c r="AA69" s="63">
        <f t="shared" ca="1" si="31"/>
        <v>-69646.335015086108</v>
      </c>
      <c r="AB69" s="64">
        <f t="shared" ca="1" si="32"/>
        <v>184923.83386733427</v>
      </c>
      <c r="AC69" s="51"/>
      <c r="AD69" s="51">
        <f t="shared" si="25"/>
        <v>0</v>
      </c>
      <c r="AE69" s="64">
        <f t="shared" si="33"/>
        <v>306146.24342001881</v>
      </c>
      <c r="AF69" s="64">
        <f t="shared" si="34"/>
        <v>-60246.990045198909</v>
      </c>
      <c r="AG69" s="51">
        <f t="shared" si="26"/>
        <v>0</v>
      </c>
      <c r="AH69" s="64">
        <f t="shared" ca="1" si="35"/>
        <v>-67274.110928575901</v>
      </c>
      <c r="AI69" s="64">
        <f t="shared" ca="1" si="36"/>
        <v>178625.14244624402</v>
      </c>
      <c r="AJ69" s="57"/>
      <c r="AK69" s="51">
        <f ca="1">SUM(AD69:AD$74,AG69:AG$74)/D69+SUM(AE70:AF$75,AH70:AH$74)/D69</f>
        <v>-1178313.6558464114</v>
      </c>
      <c r="AL69" s="51">
        <f>SUM(AE70:$AF$75)*$G$14/D69</f>
        <v>34957.148979433099</v>
      </c>
      <c r="AM69" s="51"/>
      <c r="AN69" s="51">
        <f ca="1">-SUM(AD69:$AD$75,AH69:$AH$75)/D69</f>
        <v>2413198.2901759348</v>
      </c>
      <c r="AO69" s="51">
        <f ca="1">-SUM(W69:$W$75,AA69:$AA$75)</f>
        <v>2424215.238551381</v>
      </c>
      <c r="AQ69" s="9">
        <f t="shared" ca="1" si="27"/>
        <v>-863951.21300730552</v>
      </c>
      <c r="AR69" s="9">
        <f t="shared" si="28"/>
        <v>-40091.100025054591</v>
      </c>
      <c r="AS69" s="9">
        <f t="shared" ca="1" si="29"/>
        <v>621165.35376585834</v>
      </c>
    </row>
    <row r="70" spans="1:45" outlineLevel="1" x14ac:dyDescent="0.55000000000000004">
      <c r="A70" s="9"/>
      <c r="B70" s="1" t="s">
        <v>18</v>
      </c>
      <c r="C70" s="3">
        <v>8</v>
      </c>
      <c r="D70" s="87">
        <f t="shared" si="37"/>
        <v>0.96116878123798488</v>
      </c>
      <c r="E70" s="4"/>
      <c r="F70" s="84">
        <f t="shared" si="30"/>
        <v>0.81</v>
      </c>
      <c r="G70" s="84">
        <f t="shared" si="38"/>
        <v>0.82080948891253813</v>
      </c>
      <c r="H70" s="153">
        <f t="shared" si="39"/>
        <v>0.77854671280276777</v>
      </c>
      <c r="I70" s="4"/>
      <c r="J70" s="98">
        <v>1</v>
      </c>
      <c r="K70" s="94">
        <f t="shared" si="40"/>
        <v>8.3333333333333329E-2</v>
      </c>
      <c r="L70" s="47">
        <f t="shared" si="41"/>
        <v>0.82080948891253813</v>
      </c>
      <c r="M70" s="47">
        <f t="shared" si="42"/>
        <v>0.78893645608663754</v>
      </c>
      <c r="N70" s="4"/>
      <c r="O70" s="98">
        <v>1</v>
      </c>
      <c r="P70" s="94">
        <f t="shared" si="43"/>
        <v>8.3333333333333329E-2</v>
      </c>
      <c r="Q70" s="154">
        <f t="shared" si="44"/>
        <v>0.82080948891253813</v>
      </c>
      <c r="R70" s="154">
        <f t="shared" si="45"/>
        <v>0.78893645608663754</v>
      </c>
      <c r="S70" s="51"/>
      <c r="T70" s="137">
        <v>1.5225286106495761E-2</v>
      </c>
      <c r="U70" s="135">
        <f t="shared" si="46"/>
        <v>1.5225286106495761E-2</v>
      </c>
      <c r="W70" s="63">
        <f t="shared" si="24"/>
        <v>-2430000</v>
      </c>
      <c r="X70" s="63">
        <f t="shared" si="47"/>
        <v>309087.45467440371</v>
      </c>
      <c r="Y70" s="63">
        <f t="shared" si="48"/>
        <v>-60750.000000000007</v>
      </c>
      <c r="Z70" s="63">
        <v>0</v>
      </c>
      <c r="AA70" s="63">
        <f t="shared" ca="1" si="31"/>
        <v>0</v>
      </c>
      <c r="AB70" s="64">
        <f t="shared" ca="1" si="32"/>
        <v>-2181662.5453255964</v>
      </c>
      <c r="AC70" s="51"/>
      <c r="AD70" s="51">
        <f t="shared" si="25"/>
        <v>-2335640.1384083033</v>
      </c>
      <c r="AE70" s="64">
        <f t="shared" si="33"/>
        <v>297085.21210534748</v>
      </c>
      <c r="AF70" s="64">
        <f t="shared" si="34"/>
        <v>-58391.00346020759</v>
      </c>
      <c r="AG70" s="51">
        <f t="shared" si="26"/>
        <v>0</v>
      </c>
      <c r="AH70" s="64">
        <f t="shared" ca="1" si="35"/>
        <v>0</v>
      </c>
      <c r="AI70" s="64">
        <f t="shared" ca="1" si="36"/>
        <v>-2096945.9297631632</v>
      </c>
      <c r="AJ70" s="57"/>
      <c r="AK70" s="51">
        <f ca="1">SUM(AD70:AD$74,AG70:AG$74)/D70+SUM(AE71:AF$75,AH71:AH$74)/D70</f>
        <v>-1432499.0005665524</v>
      </c>
      <c r="AL70" s="51">
        <f>SUM(AE71:$AF$75)*$G$14/D70</f>
        <v>27680.515277580213</v>
      </c>
      <c r="AM70" s="51"/>
      <c r="AN70" s="51">
        <f ca="1">-SUM(AD70:$AD$75,AH70:$AH$75)/D70</f>
        <v>2355182.8431525598</v>
      </c>
      <c r="AO70" s="51">
        <f ca="1">-SUM(W70:$W$75,AA70:$AA$75)</f>
        <v>2354568.9035362951</v>
      </c>
      <c r="AQ70" s="9">
        <f t="shared" ca="1" si="27"/>
        <v>-843605.56766522024</v>
      </c>
      <c r="AR70" s="9">
        <f t="shared" si="28"/>
        <v>-34091.651512943965</v>
      </c>
      <c r="AS70" s="9">
        <f t="shared" ca="1" si="29"/>
        <v>530846.07444074401</v>
      </c>
    </row>
    <row r="71" spans="1:45" outlineLevel="1" x14ac:dyDescent="0.55000000000000004">
      <c r="A71" s="9"/>
      <c r="B71" s="1" t="s">
        <v>19</v>
      </c>
      <c r="C71" s="3">
        <v>9</v>
      </c>
      <c r="D71" s="87">
        <f t="shared" si="37"/>
        <v>0.95642212368304769</v>
      </c>
      <c r="E71" s="4"/>
      <c r="F71" s="84">
        <f t="shared" si="30"/>
        <v>0.78894303460449045</v>
      </c>
      <c r="G71" s="84">
        <f t="shared" si="38"/>
        <v>0.7994715173022453</v>
      </c>
      <c r="H71" s="153">
        <f t="shared" si="39"/>
        <v>0.75456257262137494</v>
      </c>
      <c r="I71" s="4"/>
      <c r="J71" s="98">
        <v>1</v>
      </c>
      <c r="K71" s="94">
        <f t="shared" si="40"/>
        <v>8.3333333333333329E-2</v>
      </c>
      <c r="L71" s="47">
        <f t="shared" si="41"/>
        <v>0.7994715173022453</v>
      </c>
      <c r="M71" s="47">
        <f t="shared" si="42"/>
        <v>0.76463224640232186</v>
      </c>
      <c r="N71" s="4"/>
      <c r="O71" s="98">
        <v>1</v>
      </c>
      <c r="P71" s="94">
        <f t="shared" si="43"/>
        <v>8.3333333333333329E-2</v>
      </c>
      <c r="Q71" s="154">
        <f t="shared" si="44"/>
        <v>0.7994715173022453</v>
      </c>
      <c r="R71" s="154">
        <f t="shared" si="45"/>
        <v>0.76463224640232186</v>
      </c>
      <c r="S71" s="51"/>
      <c r="T71" s="137">
        <v>1.3868361840445591E-2</v>
      </c>
      <c r="U71" s="135">
        <f t="shared" si="46"/>
        <v>1.3868361840445591E-2</v>
      </c>
      <c r="W71" s="63">
        <f t="shared" si="24"/>
        <v>0</v>
      </c>
      <c r="X71" s="63">
        <f t="shared" si="47"/>
        <v>301427.95070896874</v>
      </c>
      <c r="Y71" s="63">
        <f t="shared" si="48"/>
        <v>-59170.727595336772</v>
      </c>
      <c r="Z71" s="63">
        <v>0</v>
      </c>
      <c r="AA71" s="63">
        <f t="shared" ca="1" si="31"/>
        <v>38376.319433316261</v>
      </c>
      <c r="AB71" s="64">
        <f t="shared" ca="1" si="32"/>
        <v>280633.54254694824</v>
      </c>
      <c r="AC71" s="51"/>
      <c r="AD71" s="51">
        <f t="shared" si="25"/>
        <v>0</v>
      </c>
      <c r="AE71" s="64">
        <f t="shared" si="33"/>
        <v>288292.3607545009</v>
      </c>
      <c r="AF71" s="64">
        <f t="shared" si="34"/>
        <v>-56592.192946603107</v>
      </c>
      <c r="AG71" s="51">
        <f t="shared" si="26"/>
        <v>0</v>
      </c>
      <c r="AH71" s="64">
        <f t="shared" ca="1" si="35"/>
        <v>36703.960931551352</v>
      </c>
      <c r="AI71" s="64">
        <f t="shared" ca="1" si="36"/>
        <v>268404.12873944914</v>
      </c>
      <c r="AJ71" s="57"/>
      <c r="AK71" s="51">
        <f ca="1">SUM(AD71:AD$74,AG71:AG$74)/D71+SUM(AE72:AF$75,AH72:AH$74)/D71</f>
        <v>721817.98609089002</v>
      </c>
      <c r="AL71" s="51">
        <f>SUM(AE72:$AF$75)*$G$14/D71</f>
        <v>20550.175087404907</v>
      </c>
      <c r="AM71" s="51"/>
      <c r="AN71" s="51">
        <f ca="1">-SUM(AD71:$AD$75,AH71:$AH$75)/D71</f>
        <v>-75188.469277376033</v>
      </c>
      <c r="AO71" s="51">
        <f ca="1">-SUM(W71:$W$75,AA71:$AA$75)</f>
        <v>-75431.096463705107</v>
      </c>
      <c r="AQ71" s="9">
        <f t="shared" ca="1" si="27"/>
        <v>-274502.18512226071</v>
      </c>
      <c r="AR71" s="9">
        <f t="shared" si="28"/>
        <v>-26959.16006242931</v>
      </c>
      <c r="AS71" s="9">
        <f t="shared" ca="1" si="29"/>
        <v>20949.532081763697</v>
      </c>
    </row>
    <row r="72" spans="1:45" outlineLevel="1" x14ac:dyDescent="0.55000000000000004">
      <c r="A72" s="9"/>
      <c r="B72" s="1" t="s">
        <v>20</v>
      </c>
      <c r="C72" s="3">
        <v>10</v>
      </c>
      <c r="D72" s="87">
        <f t="shared" si="37"/>
        <v>0.95169890712867522</v>
      </c>
      <c r="E72" s="4"/>
      <c r="F72" s="84">
        <f t="shared" si="30"/>
        <v>0.76843347142091623</v>
      </c>
      <c r="G72" s="84">
        <f t="shared" si="38"/>
        <v>0.77868825301270328</v>
      </c>
      <c r="H72" s="153">
        <f t="shared" si="39"/>
        <v>0.73131729495238007</v>
      </c>
      <c r="I72" s="4"/>
      <c r="J72" s="98">
        <v>1</v>
      </c>
      <c r="K72" s="94">
        <f t="shared" si="40"/>
        <v>8.3333333333333329E-2</v>
      </c>
      <c r="L72" s="47">
        <f t="shared" si="41"/>
        <v>0.77868825301270328</v>
      </c>
      <c r="M72" s="47">
        <f t="shared" si="42"/>
        <v>0.74107675938612705</v>
      </c>
      <c r="N72" s="4"/>
      <c r="O72" s="98">
        <v>1</v>
      </c>
      <c r="P72" s="94">
        <f t="shared" si="43"/>
        <v>8.3333333333333329E-2</v>
      </c>
      <c r="Q72" s="154">
        <f t="shared" si="44"/>
        <v>0.77868825301270328</v>
      </c>
      <c r="R72" s="154">
        <f t="shared" si="45"/>
        <v>0.74107675938612705</v>
      </c>
      <c r="S72" s="51"/>
      <c r="T72" s="137">
        <v>5.0809898881113407E-3</v>
      </c>
      <c r="U72" s="135">
        <f t="shared" si="46"/>
        <v>5.0809898881113407E-3</v>
      </c>
      <c r="W72" s="63">
        <f t="shared" si="24"/>
        <v>0</v>
      </c>
      <c r="X72" s="63">
        <f t="shared" si="47"/>
        <v>293958.25710338255</v>
      </c>
      <c r="Y72" s="63">
        <f t="shared" si="48"/>
        <v>-57632.510356568717</v>
      </c>
      <c r="Z72" s="63">
        <v>0</v>
      </c>
      <c r="AA72" s="63">
        <f t="shared" ca="1" si="31"/>
        <v>24919.119268042676</v>
      </c>
      <c r="AB72" s="64">
        <f t="shared" ca="1" si="32"/>
        <v>261244.8660148565</v>
      </c>
      <c r="AC72" s="51"/>
      <c r="AD72" s="51">
        <f t="shared" si="25"/>
        <v>0</v>
      </c>
      <c r="AE72" s="64">
        <f t="shared" si="33"/>
        <v>279759.7520267393</v>
      </c>
      <c r="AF72" s="64">
        <f t="shared" si="34"/>
        <v>-54848.797121428506</v>
      </c>
      <c r="AG72" s="51">
        <f t="shared" si="26"/>
        <v>0</v>
      </c>
      <c r="AH72" s="64">
        <f t="shared" ca="1" si="35"/>
        <v>23715.498574005327</v>
      </c>
      <c r="AI72" s="64">
        <f t="shared" ca="1" si="36"/>
        <v>248626.45347931611</v>
      </c>
      <c r="AJ72" s="57"/>
      <c r="AK72" s="51">
        <f ca="1">SUM(AD72:AD$74,AG72:AG$74)/D72+SUM(AE73:AF$75,AH73:AH$74)/D72</f>
        <v>464155.45334931038</v>
      </c>
      <c r="AL72" s="51">
        <f>SUM(AE73:$AF$75)*$G$14/D72</f>
        <v>13562.39179777664</v>
      </c>
      <c r="AM72" s="51"/>
      <c r="AN72" s="51">
        <f ca="1">-SUM(AD72:$AD$75,AH72:$AH$75)/D72</f>
        <v>-36994.846024798368</v>
      </c>
      <c r="AO72" s="51">
        <f ca="1">-SUM(W72:$W$75,AA72:$AA$75)</f>
        <v>-37054.777030388854</v>
      </c>
      <c r="AQ72" s="9">
        <f t="shared" ca="1" si="27"/>
        <v>-198374.84135795565</v>
      </c>
      <c r="AR72" s="9">
        <f t="shared" si="28"/>
        <v>-18822.380585523842</v>
      </c>
      <c r="AS72" s="9">
        <f t="shared" ca="1" si="29"/>
        <v>9367.5794376610211</v>
      </c>
    </row>
    <row r="73" spans="1:45" outlineLevel="1" x14ac:dyDescent="0.55000000000000004">
      <c r="A73" s="9"/>
      <c r="B73" s="1" t="s">
        <v>21</v>
      </c>
      <c r="C73" s="3">
        <v>11</v>
      </c>
      <c r="D73" s="87">
        <f t="shared" si="37"/>
        <v>0.94699901581330248</v>
      </c>
      <c r="E73" s="4"/>
      <c r="F73" s="84">
        <f t="shared" si="30"/>
        <v>0.74845708004256861</v>
      </c>
      <c r="G73" s="84">
        <f t="shared" si="38"/>
        <v>0.75844527573174236</v>
      </c>
      <c r="H73" s="153">
        <f t="shared" si="39"/>
        <v>0.7087881181788106</v>
      </c>
      <c r="I73" s="4"/>
      <c r="J73" s="98">
        <v>1</v>
      </c>
      <c r="K73" s="94">
        <f t="shared" si="40"/>
        <v>8.3333333333333329E-2</v>
      </c>
      <c r="L73" s="47">
        <f t="shared" si="41"/>
        <v>0.75844527573174236</v>
      </c>
      <c r="M73" s="47">
        <f t="shared" si="42"/>
        <v>0.71824692966620884</v>
      </c>
      <c r="N73" s="4"/>
      <c r="O73" s="98">
        <v>1</v>
      </c>
      <c r="P73" s="94">
        <f t="shared" si="43"/>
        <v>8.3333333333333329E-2</v>
      </c>
      <c r="Q73" s="154">
        <f t="shared" si="44"/>
        <v>0.75844527573174236</v>
      </c>
      <c r="R73" s="154">
        <f t="shared" si="45"/>
        <v>0.71824692966620884</v>
      </c>
      <c r="S73" s="51"/>
      <c r="T73" s="137">
        <v>6.0769058883075608E-3</v>
      </c>
      <c r="U73" s="135">
        <f t="shared" si="46"/>
        <v>6.0769058883075608E-3</v>
      </c>
      <c r="W73" s="63">
        <f t="shared" si="24"/>
        <v>0</v>
      </c>
      <c r="X73" s="63">
        <f t="shared" si="47"/>
        <v>286673.67016235786</v>
      </c>
      <c r="Y73" s="63">
        <f t="shared" si="48"/>
        <v>-56134.281003192642</v>
      </c>
      <c r="Z73" s="63">
        <v>0</v>
      </c>
      <c r="AA73" s="63">
        <f t="shared" ca="1" si="31"/>
        <v>12135.657762346174</v>
      </c>
      <c r="AB73" s="64">
        <f t="shared" ca="1" si="32"/>
        <v>242675.04692151138</v>
      </c>
      <c r="AC73" s="51"/>
      <c r="AD73" s="51">
        <f t="shared" si="25"/>
        <v>0</v>
      </c>
      <c r="AE73" s="64">
        <f t="shared" si="33"/>
        <v>271479.68350334017</v>
      </c>
      <c r="AF73" s="64">
        <f t="shared" si="34"/>
        <v>-53159.108863410795</v>
      </c>
      <c r="AG73" s="51">
        <f t="shared" si="26"/>
        <v>0</v>
      </c>
      <c r="AH73" s="64">
        <f t="shared" ca="1" si="35"/>
        <v>11492.455957188891</v>
      </c>
      <c r="AI73" s="64">
        <f t="shared" ca="1" si="36"/>
        <v>229813.03059711825</v>
      </c>
      <c r="AJ73" s="57"/>
      <c r="AK73" s="51">
        <f ca="1">SUM(AD73:AD$74,AG73:AG$74)/D73+SUM(AE74:AF$75,AH74:AH$74)/D73</f>
        <v>223783.97818210098</v>
      </c>
      <c r="AL73" s="51">
        <f>SUM(AE74:$AF$75)*$G$14/D73</f>
        <v>6713.5193454630298</v>
      </c>
      <c r="AM73" s="51"/>
      <c r="AN73" s="51">
        <f ca="1">-SUM(AD73:$AD$75,AH73:$AH$75)/D73</f>
        <v>-12135.657762346174</v>
      </c>
      <c r="AO73" s="51">
        <f ca="1">-SUM(W73:$W$75,AA73:$AA$75)</f>
        <v>-12135.657762346174</v>
      </c>
      <c r="AQ73" s="9">
        <f t="shared" ca="1" si="27"/>
        <v>-106480.97098186298</v>
      </c>
      <c r="AR73" s="9">
        <f t="shared" si="28"/>
        <v>-9799.7281127351689</v>
      </c>
      <c r="AS73" s="9">
        <f t="shared" ca="1" si="29"/>
        <v>2772.8136096749622</v>
      </c>
    </row>
    <row r="74" spans="1:45" outlineLevel="1" x14ac:dyDescent="0.55000000000000004">
      <c r="A74" s="9"/>
      <c r="B74" s="1" t="s">
        <v>22</v>
      </c>
      <c r="C74" s="3">
        <v>12</v>
      </c>
      <c r="D74" s="87">
        <f t="shared" si="37"/>
        <v>0.94232233454704384</v>
      </c>
      <c r="E74" s="4"/>
      <c r="F74" s="84">
        <f t="shared" si="30"/>
        <v>0.72900000000000009</v>
      </c>
      <c r="G74" s="84">
        <f t="shared" si="38"/>
        <v>0.73872854002128441</v>
      </c>
      <c r="H74" s="153">
        <f t="shared" si="39"/>
        <v>0.68695298188479503</v>
      </c>
      <c r="I74" s="4"/>
      <c r="J74" s="98">
        <v>1</v>
      </c>
      <c r="K74" s="94">
        <f t="shared" si="40"/>
        <v>8.3333333333333329E-2</v>
      </c>
      <c r="L74" s="47">
        <f t="shared" si="41"/>
        <v>0.73872854002128441</v>
      </c>
      <c r="M74" s="47">
        <f t="shared" si="42"/>
        <v>0.696120402429386</v>
      </c>
      <c r="N74" s="4"/>
      <c r="O74" s="98">
        <v>1</v>
      </c>
      <c r="P74" s="94">
        <f t="shared" si="43"/>
        <v>8.3333333333333329E-2</v>
      </c>
      <c r="Q74" s="154">
        <f t="shared" si="44"/>
        <v>0.73872854002128441</v>
      </c>
      <c r="R74" s="154">
        <f t="shared" si="45"/>
        <v>0.696120402429386</v>
      </c>
      <c r="S74" s="51"/>
      <c r="T74" s="137">
        <v>6.7969588236102014E-3</v>
      </c>
      <c r="U74" s="135">
        <f t="shared" si="46"/>
        <v>6.7969588236102014E-3</v>
      </c>
      <c r="W74" s="63">
        <f t="shared" si="24"/>
        <v>0</v>
      </c>
      <c r="X74" s="63">
        <f t="shared" si="47"/>
        <v>279569.60275299812</v>
      </c>
      <c r="Y74" s="63">
        <f t="shared" si="48"/>
        <v>-54675.000000000007</v>
      </c>
      <c r="Z74" s="63">
        <v>0</v>
      </c>
      <c r="AA74" s="63">
        <f t="shared" ca="1" si="31"/>
        <v>0</v>
      </c>
      <c r="AB74" s="64">
        <f t="shared" ca="1" si="32"/>
        <v>224894.60275299812</v>
      </c>
      <c r="AC74" s="51"/>
      <c r="AD74" s="51">
        <f t="shared" si="25"/>
        <v>0</v>
      </c>
      <c r="AE74" s="64">
        <f t="shared" si="33"/>
        <v>263444.68073459482</v>
      </c>
      <c r="AF74" s="64">
        <f t="shared" si="34"/>
        <v>-51521.473641359626</v>
      </c>
      <c r="AG74" s="51">
        <f t="shared" si="26"/>
        <v>0</v>
      </c>
      <c r="AH74" s="64">
        <f t="shared" ca="1" si="35"/>
        <v>0</v>
      </c>
      <c r="AI74" s="64">
        <f t="shared" ca="1" si="36"/>
        <v>211923.20709323519</v>
      </c>
      <c r="AJ74" s="57"/>
      <c r="AK74" s="51">
        <f ca="1">SUM(AD74:AD$74,AG74:AG$74)/D74+SUM(AE75:AF$75,AH$74:AH75)/D74</f>
        <v>0</v>
      </c>
      <c r="AL74" s="51">
        <f>SUM(AE75:$AF$75)*$G$14/D74</f>
        <v>0</v>
      </c>
      <c r="AM74" s="51"/>
      <c r="AN74" s="51">
        <f ca="1">-SUM(AD74:$AD$75,AH74:$AH$75)/D74</f>
        <v>0</v>
      </c>
      <c r="AO74" s="51">
        <f ca="1">-SUM(W74:$W$75,AA74:$AA$75)</f>
        <v>0</v>
      </c>
      <c r="AQ74" s="9">
        <f t="shared" ca="1" si="27"/>
        <v>0</v>
      </c>
      <c r="AR74" s="9">
        <f t="shared" si="28"/>
        <v>0</v>
      </c>
      <c r="AS74" s="9">
        <f t="shared" ca="1" si="29"/>
        <v>0</v>
      </c>
    </row>
    <row r="75" spans="1:45" outlineLevel="1" x14ac:dyDescent="0.55000000000000004">
      <c r="B75" s="8"/>
      <c r="C75" s="6"/>
      <c r="D75" s="7"/>
      <c r="E75" s="2"/>
      <c r="F75" s="85"/>
      <c r="G75" s="85"/>
      <c r="H75" s="79"/>
      <c r="I75" s="2"/>
      <c r="J75" s="6"/>
      <c r="K75" s="6"/>
      <c r="L75" s="71"/>
      <c r="M75" s="90"/>
      <c r="N75" s="2"/>
      <c r="O75" s="12"/>
      <c r="P75" s="12"/>
      <c r="Q75" s="50"/>
      <c r="R75" s="90"/>
      <c r="S75" s="55"/>
      <c r="T75" s="136"/>
      <c r="U75" s="136"/>
      <c r="W75" s="66"/>
      <c r="X75" s="66"/>
      <c r="Y75" s="66"/>
      <c r="Z75" s="66"/>
      <c r="AA75" s="66"/>
      <c r="AB75" s="66"/>
      <c r="AC75" s="55"/>
      <c r="AD75" s="67"/>
      <c r="AE75" s="68"/>
      <c r="AF75" s="68"/>
      <c r="AG75" s="67"/>
      <c r="AH75" s="67"/>
      <c r="AI75" s="68"/>
      <c r="AJ75" s="57"/>
      <c r="AK75" s="67"/>
      <c r="AL75" s="67"/>
      <c r="AM75" s="51"/>
      <c r="AN75" s="121"/>
      <c r="AO75" s="121"/>
      <c r="AQ75" s="67"/>
      <c r="AR75" s="67"/>
      <c r="AS75" s="67"/>
    </row>
    <row r="76" spans="1:45" outlineLevel="1" x14ac:dyDescent="0.55000000000000004">
      <c r="A76" s="9"/>
      <c r="B76" s="4"/>
      <c r="C76" s="4"/>
      <c r="D76" s="4"/>
      <c r="E76" s="4"/>
      <c r="F76" s="3"/>
      <c r="G76" s="3"/>
      <c r="H76" s="4"/>
      <c r="I76" s="4"/>
      <c r="J76" s="4"/>
      <c r="K76" s="4"/>
      <c r="L76" s="51"/>
      <c r="M76" s="51"/>
      <c r="N76" s="4"/>
      <c r="O76" s="4"/>
      <c r="P76" s="4"/>
      <c r="Q76" s="51"/>
      <c r="R76" s="51"/>
      <c r="S76" s="51"/>
      <c r="T76" s="4"/>
      <c r="U76" s="4"/>
      <c r="W76" s="51"/>
      <c r="X76" s="51"/>
      <c r="Y76" s="51"/>
      <c r="Z76" s="51"/>
      <c r="AA76" s="51"/>
      <c r="AB76" s="51"/>
      <c r="AC76" s="51"/>
      <c r="AD76" s="51"/>
      <c r="AE76" s="51"/>
      <c r="AF76" s="51"/>
      <c r="AG76" s="51"/>
      <c r="AH76" s="51"/>
      <c r="AI76" s="51"/>
      <c r="AJ76" s="57"/>
      <c r="AK76" s="51"/>
      <c r="AL76" s="51"/>
      <c r="AM76" s="51"/>
      <c r="AN76" s="70"/>
      <c r="AO76" s="70"/>
      <c r="AQ76" s="51"/>
      <c r="AR76" s="51"/>
      <c r="AS76" s="51"/>
    </row>
    <row r="77" spans="1:45" outlineLevel="1" x14ac:dyDescent="0.55000000000000004">
      <c r="A77" s="9"/>
      <c r="B77" s="24"/>
      <c r="C77" s="24"/>
      <c r="D77" s="25"/>
      <c r="E77" s="4"/>
      <c r="F77" s="26"/>
      <c r="G77" s="26"/>
      <c r="H77" s="26"/>
      <c r="I77" s="4"/>
      <c r="J77" s="80">
        <f>SUM(J63:J74)</f>
        <v>12</v>
      </c>
      <c r="K77" s="95">
        <f>SUM(K63:K74)</f>
        <v>1</v>
      </c>
      <c r="L77" s="81">
        <f>SUM(L63:L74)</f>
        <v>9.7701534146510696</v>
      </c>
      <c r="M77" s="81">
        <f>SUM(M63:M74)</f>
        <v>9.4732688161055734</v>
      </c>
      <c r="N77" s="4"/>
      <c r="O77" s="80">
        <f>SUM(O63:O74)</f>
        <v>12</v>
      </c>
      <c r="P77" s="95">
        <f>SUM(P63:P74)</f>
        <v>1</v>
      </c>
      <c r="Q77" s="81">
        <f>SUM(Q63:Q74)</f>
        <v>9.7701534146510696</v>
      </c>
      <c r="R77" s="81">
        <f>SUM(R63:R74)</f>
        <v>9.4732688161055734</v>
      </c>
      <c r="S77" s="52"/>
      <c r="T77" s="80">
        <f>SUM(T63:T74)</f>
        <v>1</v>
      </c>
      <c r="U77" s="95">
        <f>SUM(U63:U74)</f>
        <v>1</v>
      </c>
      <c r="W77" s="52">
        <f t="shared" ref="W77:AB77" si="49">SUM(W62:W74)</f>
        <v>-7830000</v>
      </c>
      <c r="X77" s="52">
        <f t="shared" si="49"/>
        <v>4037470.8119808179</v>
      </c>
      <c r="Y77" s="52">
        <f t="shared" si="49"/>
        <v>-908531.53800225561</v>
      </c>
      <c r="Z77" s="52">
        <f t="shared" si="49"/>
        <v>-900000</v>
      </c>
      <c r="AA77" s="52">
        <f t="shared" ca="1" si="49"/>
        <v>368629.32770051813</v>
      </c>
      <c r="AB77" s="52">
        <f t="shared" ca="1" si="49"/>
        <v>-5232431.3983209189</v>
      </c>
      <c r="AC77" s="51"/>
      <c r="AD77" s="52">
        <f t="shared" ref="AD77:AI77" si="50">SUM(AD62:AD74)</f>
        <v>-7688581.3148788903</v>
      </c>
      <c r="AE77" s="52">
        <f t="shared" si="50"/>
        <v>3919150.8788944497</v>
      </c>
      <c r="AF77" s="52">
        <f t="shared" si="50"/>
        <v>-883435.70961299574</v>
      </c>
      <c r="AG77" s="52">
        <f t="shared" si="50"/>
        <v>-900000</v>
      </c>
      <c r="AH77" s="52">
        <f t="shared" ca="1" si="50"/>
        <v>362232.50245909987</v>
      </c>
      <c r="AI77" s="52">
        <f t="shared" ca="1" si="50"/>
        <v>-5190633.6431383369</v>
      </c>
      <c r="AJ77" s="52"/>
      <c r="AK77" s="52"/>
      <c r="AL77" s="52"/>
      <c r="AM77" s="51"/>
      <c r="AN77" s="70"/>
      <c r="AO77" s="70"/>
      <c r="AQ77" s="52"/>
      <c r="AR77" s="52"/>
      <c r="AS77" s="52"/>
    </row>
    <row r="78" spans="1:45" ht="15.3" x14ac:dyDescent="0.55000000000000004">
      <c r="A78" s="9"/>
      <c r="B78" s="24"/>
      <c r="C78" s="24"/>
      <c r="D78" s="4"/>
      <c r="E78" s="4"/>
      <c r="F78" s="4"/>
      <c r="G78" s="4"/>
      <c r="H78" s="4"/>
      <c r="I78" s="4"/>
      <c r="J78" s="24"/>
      <c r="K78" s="24"/>
      <c r="L78" s="52"/>
      <c r="M78" s="52"/>
      <c r="N78" s="4"/>
      <c r="O78" s="24"/>
      <c r="P78" s="24"/>
      <c r="Q78" s="52"/>
      <c r="R78" s="52"/>
      <c r="S78" s="51"/>
      <c r="W78" s="52"/>
      <c r="X78" s="72"/>
      <c r="Y78" s="72"/>
      <c r="Z78" s="52"/>
      <c r="AA78" s="52"/>
      <c r="AB78" s="52"/>
      <c r="AC78" s="51"/>
      <c r="AD78" s="52"/>
      <c r="AE78" s="73"/>
      <c r="AF78" s="73"/>
      <c r="AG78" s="52"/>
      <c r="AH78" s="52"/>
      <c r="AI78" s="52"/>
      <c r="AJ78" s="57"/>
      <c r="AK78" s="52"/>
      <c r="AL78" s="52"/>
      <c r="AM78" s="52"/>
      <c r="AN78" s="70"/>
      <c r="AO78" s="70"/>
    </row>
    <row r="79" spans="1:45" ht="15.3" x14ac:dyDescent="0.55000000000000004">
      <c r="A79" s="9"/>
      <c r="B79" s="24"/>
      <c r="C79" s="24"/>
      <c r="D79" s="4"/>
      <c r="E79" s="4"/>
      <c r="F79" s="4"/>
      <c r="G79" s="4"/>
      <c r="H79" s="4"/>
      <c r="I79" s="4"/>
      <c r="J79" s="24"/>
      <c r="K79" s="24"/>
      <c r="L79" s="52"/>
      <c r="M79" s="52"/>
      <c r="N79" s="4"/>
      <c r="O79" s="24"/>
      <c r="P79" s="24"/>
      <c r="Q79" s="52"/>
      <c r="R79" s="52"/>
      <c r="S79" s="51"/>
      <c r="W79" s="52"/>
      <c r="X79" s="72"/>
      <c r="Y79" s="72"/>
      <c r="Z79" s="52"/>
      <c r="AA79" s="52"/>
      <c r="AB79" s="52"/>
      <c r="AC79" s="51"/>
      <c r="AD79" s="52"/>
      <c r="AE79" s="73"/>
      <c r="AF79" s="73"/>
      <c r="AG79" s="52"/>
      <c r="AH79" s="52"/>
      <c r="AI79" s="52"/>
      <c r="AJ79" s="57"/>
      <c r="AK79" s="52"/>
      <c r="AL79" s="52"/>
      <c r="AM79" s="52"/>
      <c r="AN79" s="70"/>
      <c r="AO79" s="70"/>
    </row>
    <row r="80" spans="1:45" ht="18.3" x14ac:dyDescent="0.55000000000000004">
      <c r="A80" s="2"/>
      <c r="B80" s="143" t="s">
        <v>166</v>
      </c>
      <c r="C80" s="107"/>
      <c r="D80" s="108"/>
      <c r="H80" s="105"/>
      <c r="J80" s="2"/>
      <c r="K80" s="2"/>
      <c r="N80" s="2"/>
      <c r="O80" s="2"/>
      <c r="P80" s="2"/>
      <c r="Q80" s="2"/>
      <c r="S80" s="2"/>
      <c r="W80" s="55"/>
      <c r="X80" s="55"/>
      <c r="Y80" s="55"/>
      <c r="Z80" s="55"/>
      <c r="AA80" s="55"/>
      <c r="AB80" s="55"/>
      <c r="AC80" s="2"/>
      <c r="AD80" s="22"/>
      <c r="AE80" s="2"/>
      <c r="AF80" s="2"/>
      <c r="AG80" s="2"/>
      <c r="AH80" s="2"/>
      <c r="AI80" s="2"/>
      <c r="AJ80" s="21"/>
      <c r="AK80" s="2"/>
      <c r="AL80" s="2"/>
      <c r="AM80" s="2"/>
      <c r="AN80" s="70"/>
      <c r="AO80" s="70"/>
    </row>
    <row r="81" spans="1:45" outlineLevel="1" x14ac:dyDescent="0.55000000000000004">
      <c r="D81" s="2"/>
      <c r="E81" s="2"/>
      <c r="F81" s="2"/>
      <c r="G81" s="2"/>
      <c r="H81" s="2"/>
      <c r="I81" s="2"/>
      <c r="J81" s="2"/>
      <c r="K81" s="2"/>
      <c r="L81" s="2"/>
      <c r="M81" s="2"/>
      <c r="N81" s="2"/>
      <c r="O81" s="2"/>
      <c r="P81" s="2"/>
      <c r="Q81" s="2"/>
      <c r="R81" s="2"/>
      <c r="S81" s="2"/>
      <c r="W81" s="55"/>
      <c r="X81" s="55"/>
      <c r="Y81" s="55"/>
      <c r="Z81" s="55"/>
      <c r="AA81" s="113"/>
      <c r="AB81" s="114"/>
      <c r="AC81" s="2"/>
      <c r="AD81" s="2"/>
      <c r="AE81" s="2"/>
      <c r="AF81" s="2"/>
      <c r="AG81" s="2"/>
      <c r="AH81" s="2"/>
      <c r="AI81" s="2"/>
      <c r="AJ81" s="21"/>
      <c r="AK81" s="2"/>
      <c r="AL81" s="2"/>
      <c r="AM81" s="51"/>
      <c r="AN81" s="70"/>
      <c r="AO81" s="70"/>
    </row>
    <row r="82" spans="1:45" ht="19.899999999999999" customHeight="1" outlineLevel="1" x14ac:dyDescent="0.55000000000000004">
      <c r="B82" s="185" t="s">
        <v>67</v>
      </c>
      <c r="C82" s="185"/>
      <c r="D82" s="185"/>
      <c r="E82" s="2"/>
      <c r="F82" s="187" t="s">
        <v>127</v>
      </c>
      <c r="G82" s="187"/>
      <c r="H82" s="187"/>
      <c r="I82" s="2"/>
      <c r="J82" s="187" t="s">
        <v>69</v>
      </c>
      <c r="K82" s="187"/>
      <c r="L82" s="187"/>
      <c r="M82" s="187"/>
      <c r="N82" s="2"/>
      <c r="O82" s="187" t="s">
        <v>38</v>
      </c>
      <c r="P82" s="187"/>
      <c r="Q82" s="187"/>
      <c r="R82" s="187"/>
      <c r="S82" s="2"/>
      <c r="T82" s="190" t="s">
        <v>461</v>
      </c>
      <c r="U82" s="190"/>
      <c r="W82" s="188" t="s">
        <v>31</v>
      </c>
      <c r="X82" s="188"/>
      <c r="Y82" s="188"/>
      <c r="Z82" s="188"/>
      <c r="AA82" s="188"/>
      <c r="AB82" s="188"/>
      <c r="AC82" s="2"/>
      <c r="AD82" s="189" t="s">
        <v>32</v>
      </c>
      <c r="AE82" s="189"/>
      <c r="AF82" s="189"/>
      <c r="AG82" s="189"/>
      <c r="AH82" s="189"/>
      <c r="AI82" s="189"/>
      <c r="AJ82" s="21"/>
      <c r="AK82" s="189" t="s">
        <v>149</v>
      </c>
      <c r="AL82" s="189"/>
      <c r="AM82" s="51"/>
      <c r="AN82" s="188" t="s">
        <v>325</v>
      </c>
      <c r="AO82" s="188"/>
      <c r="AQ82" s="185" t="s">
        <v>143</v>
      </c>
      <c r="AR82" s="185"/>
      <c r="AS82" s="185"/>
    </row>
    <row r="83" spans="1:45" ht="30.6" customHeight="1" outlineLevel="1" x14ac:dyDescent="0.55000000000000004">
      <c r="B83" s="145" t="s">
        <v>145</v>
      </c>
      <c r="C83" s="145" t="s">
        <v>10</v>
      </c>
      <c r="D83" s="78" t="s">
        <v>124</v>
      </c>
      <c r="E83" s="13"/>
      <c r="F83" s="82" t="s">
        <v>127</v>
      </c>
      <c r="G83" s="82" t="s">
        <v>153</v>
      </c>
      <c r="H83" s="86" t="s">
        <v>2</v>
      </c>
      <c r="I83" s="2"/>
      <c r="J83" s="88" t="s">
        <v>125</v>
      </c>
      <c r="K83" s="88" t="s">
        <v>36</v>
      </c>
      <c r="L83" s="48" t="s">
        <v>129</v>
      </c>
      <c r="M83" s="86" t="s">
        <v>2</v>
      </c>
      <c r="N83" s="13"/>
      <c r="O83" s="91" t="s">
        <v>126</v>
      </c>
      <c r="P83" s="91" t="s">
        <v>36</v>
      </c>
      <c r="Q83" s="92" t="s">
        <v>130</v>
      </c>
      <c r="R83" s="86" t="s">
        <v>2</v>
      </c>
      <c r="S83" s="55"/>
      <c r="T83" s="91" t="s">
        <v>154</v>
      </c>
      <c r="U83" s="91" t="s">
        <v>36</v>
      </c>
      <c r="W83" s="53" t="s">
        <v>12</v>
      </c>
      <c r="X83" s="53" t="s">
        <v>34</v>
      </c>
      <c r="Y83" s="53" t="s">
        <v>35</v>
      </c>
      <c r="Z83" s="53" t="s">
        <v>41</v>
      </c>
      <c r="AA83" s="56" t="s">
        <v>119</v>
      </c>
      <c r="AB83" s="53" t="s">
        <v>1</v>
      </c>
      <c r="AC83" s="55"/>
      <c r="AD83" s="53" t="s">
        <v>12</v>
      </c>
      <c r="AE83" s="53" t="s">
        <v>34</v>
      </c>
      <c r="AF83" s="53" t="s">
        <v>35</v>
      </c>
      <c r="AG83" s="56" t="s">
        <v>41</v>
      </c>
      <c r="AH83" s="56" t="s">
        <v>119</v>
      </c>
      <c r="AI83" s="53" t="s">
        <v>1</v>
      </c>
      <c r="AJ83" s="57"/>
      <c r="AK83" s="58" t="s">
        <v>3</v>
      </c>
      <c r="AL83" s="58" t="s">
        <v>0</v>
      </c>
      <c r="AM83" s="51"/>
      <c r="AN83" s="76" t="s">
        <v>45</v>
      </c>
      <c r="AO83" s="76" t="s">
        <v>146</v>
      </c>
      <c r="AQ83" s="58" t="s">
        <v>3</v>
      </c>
      <c r="AR83" s="58" t="s">
        <v>0</v>
      </c>
      <c r="AS83" s="58" t="s">
        <v>12</v>
      </c>
    </row>
    <row r="84" spans="1:45" s="19" customFormat="1" outlineLevel="1" x14ac:dyDescent="0.55000000000000004">
      <c r="B84" s="15" t="s">
        <v>239</v>
      </c>
      <c r="C84" s="15" t="s">
        <v>240</v>
      </c>
      <c r="D84" s="16" t="s">
        <v>241</v>
      </c>
      <c r="E84" s="20"/>
      <c r="F84" s="83" t="s">
        <v>242</v>
      </c>
      <c r="G84" s="83" t="s">
        <v>243</v>
      </c>
      <c r="H84" s="18" t="s">
        <v>244</v>
      </c>
      <c r="I84" s="23"/>
      <c r="J84" s="18" t="s">
        <v>245</v>
      </c>
      <c r="K84" s="18" t="s">
        <v>246</v>
      </c>
      <c r="L84" s="18" t="s">
        <v>247</v>
      </c>
      <c r="M84" s="17" t="s">
        <v>248</v>
      </c>
      <c r="N84" s="20"/>
      <c r="O84" s="17" t="s">
        <v>249</v>
      </c>
      <c r="P84" s="17" t="s">
        <v>250</v>
      </c>
      <c r="Q84" s="17" t="s">
        <v>251</v>
      </c>
      <c r="R84" s="142" t="s">
        <v>252</v>
      </c>
      <c r="S84" s="61"/>
      <c r="T84" s="17" t="s">
        <v>253</v>
      </c>
      <c r="U84" s="17" t="s">
        <v>254</v>
      </c>
      <c r="W84" s="60" t="s">
        <v>255</v>
      </c>
      <c r="X84" s="60" t="s">
        <v>256</v>
      </c>
      <c r="Y84" s="60" t="s">
        <v>257</v>
      </c>
      <c r="Z84" s="60" t="s">
        <v>258</v>
      </c>
      <c r="AA84" s="60" t="s">
        <v>259</v>
      </c>
      <c r="AB84" s="60" t="s">
        <v>260</v>
      </c>
      <c r="AC84" s="61"/>
      <c r="AD84" s="60" t="s">
        <v>261</v>
      </c>
      <c r="AE84" s="60" t="s">
        <v>262</v>
      </c>
      <c r="AF84" s="60" t="s">
        <v>263</v>
      </c>
      <c r="AG84" s="60" t="s">
        <v>264</v>
      </c>
      <c r="AH84" s="60" t="s">
        <v>265</v>
      </c>
      <c r="AI84" s="60" t="s">
        <v>266</v>
      </c>
      <c r="AJ84" s="62"/>
      <c r="AK84" s="60" t="s">
        <v>267</v>
      </c>
      <c r="AL84" s="60" t="s">
        <v>268</v>
      </c>
      <c r="AN84" s="60" t="s">
        <v>293</v>
      </c>
      <c r="AO84" s="60" t="s">
        <v>294</v>
      </c>
      <c r="AQ84" s="60" t="s">
        <v>295</v>
      </c>
      <c r="AR84" s="60" t="s">
        <v>296</v>
      </c>
      <c r="AS84" s="60" t="s">
        <v>297</v>
      </c>
    </row>
    <row r="85" spans="1:45" outlineLevel="1" x14ac:dyDescent="0.55000000000000004">
      <c r="B85" s="1"/>
      <c r="C85" s="3">
        <v>0</v>
      </c>
      <c r="D85" s="87">
        <v>1</v>
      </c>
      <c r="E85" s="2"/>
      <c r="F85" s="84">
        <v>1</v>
      </c>
      <c r="G85" s="84"/>
      <c r="H85" s="5"/>
      <c r="I85" s="2"/>
      <c r="J85" s="2"/>
      <c r="K85" s="2"/>
      <c r="L85" s="55"/>
      <c r="M85" s="55"/>
      <c r="N85" s="2"/>
      <c r="O85" s="10"/>
      <c r="P85" s="10"/>
      <c r="Q85" s="49"/>
      <c r="R85" s="55"/>
      <c r="S85" s="55"/>
      <c r="T85" s="2"/>
      <c r="U85" s="2"/>
      <c r="W85" s="63">
        <f t="shared" ref="W85:W97" si="51">IFERROR(IF(C85&gt;=$F$7*4,0,-IF($F$22="pattern",U86*$F$21,IF(AND($F$22="single",C85=0),$F$21,IF(AND($F$22="annual",MOD(C85,4)=0),$F$21/$F$7,IF(AND($F$22="semi-ann",MOD(C85,2)=0),$F$21/(2*$F$7),IF($F$22="quarterly",$F$21/(4*$F$7),0)))))*F85),0)</f>
        <v>-3000000</v>
      </c>
      <c r="X85" s="63"/>
      <c r="Y85" s="63"/>
      <c r="Z85" s="63">
        <f>-$F$13*$F$21</f>
        <v>-900000</v>
      </c>
      <c r="AA85" s="63"/>
      <c r="AB85" s="64">
        <f>SUM(W85:AA85)</f>
        <v>-3900000</v>
      </c>
      <c r="AC85" s="55"/>
      <c r="AD85" s="64">
        <f t="shared" ref="AD85:AD97" si="52">W85*$D85</f>
        <v>-3000000</v>
      </c>
      <c r="AE85" s="64"/>
      <c r="AF85" s="64"/>
      <c r="AG85" s="64">
        <f t="shared" ref="AG85:AG97" si="53">Z85*$D85</f>
        <v>-900000</v>
      </c>
      <c r="AH85" s="64"/>
      <c r="AI85" s="64">
        <f>SUM(AD85:AH85)</f>
        <v>-3900000</v>
      </c>
      <c r="AJ85" s="57"/>
      <c r="AK85" s="51">
        <f ca="1">SUM(AD85:AD$97,AG85:AG$97)/D85+SUM(AE86:AF$98,AH86:AH$97)/D85</f>
        <v>-5190093.3098207572</v>
      </c>
      <c r="AL85" s="51">
        <f>SUM(AE86:$AF$98)*$G$14/D85</f>
        <v>91419.182080988496</v>
      </c>
      <c r="AM85" s="51"/>
      <c r="AN85" s="51">
        <f ca="1">-SUM(AD85:$AD$98,AH85:$AH$98)/D85</f>
        <v>7337399.379187041</v>
      </c>
      <c r="AO85" s="51">
        <f ca="1">-SUM(W85:$W$98,AA85:$AA$98)</f>
        <v>7461370.6722994819</v>
      </c>
      <c r="AQ85" s="9">
        <f t="shared" ref="AQ85:AQ97" ca="1" si="54">AK85-AK62</f>
        <v>540.33331757970154</v>
      </c>
      <c r="AR85" s="9">
        <f t="shared" ref="AR85:AR97" si="55">AL85-AL62</f>
        <v>347.72700254488154</v>
      </c>
      <c r="AS85" s="9">
        <f t="shared" ref="AS85:AS97" ca="1" si="56">IF($F$27="yes",AN85-AN62,AO85-AO62)</f>
        <v>11050.566767251119</v>
      </c>
    </row>
    <row r="86" spans="1:45" outlineLevel="1" x14ac:dyDescent="0.55000000000000004">
      <c r="A86" s="9"/>
      <c r="B86" s="1" t="s">
        <v>6</v>
      </c>
      <c r="C86" s="3">
        <v>1</v>
      </c>
      <c r="D86" s="87">
        <f>D85/(1+IF(C86&lt;$F$8,$F$17,$G$17))^(1/4)</f>
        <v>0.99506157747984325</v>
      </c>
      <c r="E86" s="4"/>
      <c r="F86" s="111">
        <f t="shared" ref="F86:F97" si="57">(1-IF(C86&lt;$F$8,$F$19,$G$19))^(C86/4)</f>
        <v>0.94574160900317583</v>
      </c>
      <c r="G86" s="84">
        <f>AVERAGE(F85:F86)</f>
        <v>0.97287080450158792</v>
      </c>
      <c r="H86" s="153">
        <f>F86*D86</f>
        <v>0.94107113734302528</v>
      </c>
      <c r="I86" s="4"/>
      <c r="J86" s="115">
        <f t="shared" ref="J86:J97" si="58">J63</f>
        <v>1</v>
      </c>
      <c r="K86" s="155">
        <f>J86/$J$77</f>
        <v>8.3333333333333329E-2</v>
      </c>
      <c r="L86" s="154">
        <f>J86*G86</f>
        <v>0.97287080450158792</v>
      </c>
      <c r="M86" s="154">
        <f>L86*D86</f>
        <v>0.96806635741143421</v>
      </c>
      <c r="N86" s="4"/>
      <c r="O86" s="115">
        <f t="shared" ref="O86:O97" si="59">O63</f>
        <v>1</v>
      </c>
      <c r="P86" s="94">
        <f>O86/$O$77</f>
        <v>8.3333333333333329E-2</v>
      </c>
      <c r="Q86" s="154">
        <f>O86*G86</f>
        <v>0.97287080450158792</v>
      </c>
      <c r="R86" s="154">
        <f>Q86*D86</f>
        <v>0.96806635741143421</v>
      </c>
      <c r="S86" s="51"/>
      <c r="T86" s="138">
        <f t="shared" ref="T86:T97" si="60">T63</f>
        <v>0.20282873599525819</v>
      </c>
      <c r="U86" s="135">
        <f>T86/$T$100</f>
        <v>0.20282873599525819</v>
      </c>
      <c r="W86" s="63">
        <f t="shared" si="51"/>
        <v>0</v>
      </c>
      <c r="X86" s="63">
        <f>$F$21*IF(C86&lt;$F$8,$F$11,$G$11)*P86*((1+$F$18)^(MIN($F$8-1,C86)/4))*((1+$G$18)^(MAX(0,C86-$F$8+1)/4))*F86</f>
        <v>426643.71662943577</v>
      </c>
      <c r="Y86" s="63">
        <f>-$F$21*IF(C86&lt;$F$8,$F$12,$G$12)*IF($F$28="risk",P86*F86,IF($F$28="policies IF",F86/($F$7*4),1/($F$7*4)))</f>
        <v>-106395.93101285727</v>
      </c>
      <c r="Z86" s="63">
        <v>0</v>
      </c>
      <c r="AA86" s="63">
        <f t="shared" ref="AA86:AA97" ca="1" si="61">IF($F$25="no",0,1)*(F86-F85)*OFFSET(W86,-IF($F$22="single",C86,IF($F$22="annual",MOD(C86,4),IF($F$22="semi-ann",MOD(C86,2),0))),0)*IF($F$22="single",($F$7*4-C86)/($F$7*4),IF(AND($F$22="annual",MOD(C86,4)&lt;&gt;0),(4-MOD(C86,4))/4,IF(AND($F$22="semi-ann",MOD(C86,2)&lt;&gt;0),0.5,0)))</f>
        <v>122081.37974285436</v>
      </c>
      <c r="AB86" s="64">
        <f t="shared" ref="AB86:AB97" ca="1" si="62">SUM(W86:AA86)</f>
        <v>442329.16535943293</v>
      </c>
      <c r="AC86" s="51"/>
      <c r="AD86" s="51">
        <f t="shared" si="52"/>
        <v>0</v>
      </c>
      <c r="AE86" s="64">
        <f t="shared" ref="AE86:AE97" si="63">X86*$D86</f>
        <v>424536.76969114959</v>
      </c>
      <c r="AF86" s="64">
        <f t="shared" ref="AF86:AF97" si="64">Y86*$D86</f>
        <v>-105870.50295109033</v>
      </c>
      <c r="AG86" s="51">
        <f t="shared" si="53"/>
        <v>0</v>
      </c>
      <c r="AH86" s="64">
        <f t="shared" ref="AH86:AH97" ca="1" si="65">AA86*$D86</f>
        <v>121478.49030784045</v>
      </c>
      <c r="AI86" s="64">
        <f t="shared" ref="AI86:AI97" ca="1" si="66">SUM(AD86:AH86)</f>
        <v>440144.75704789971</v>
      </c>
      <c r="AJ86" s="57"/>
      <c r="AK86" s="51">
        <f ca="1">SUM(AD86:AD$97,AG86:AG$97)/D86+SUM(AE87:AF$98,AH87:AH$97)/D86</f>
        <v>-1738825.119999879</v>
      </c>
      <c r="AL86" s="51">
        <f>SUM(AE87:$AF$98)*$G$14/D86</f>
        <v>82265.455657637343</v>
      </c>
      <c r="AM86" s="51"/>
      <c r="AN86" s="51">
        <f ca="1">-SUM(AD86:$AD$98,AH86:$AH$98)/D86</f>
        <v>4358925.5955116032</v>
      </c>
      <c r="AO86" s="51">
        <f ca="1">-SUM(W86:$W$98,AA86:$AA$98)</f>
        <v>4461370.6722994819</v>
      </c>
      <c r="AQ86" s="9">
        <f t="shared" ca="1" si="54"/>
        <v>543.01495486171916</v>
      </c>
      <c r="AR86" s="9">
        <f t="shared" si="55"/>
        <v>349.4527478646778</v>
      </c>
      <c r="AS86" s="9">
        <f t="shared" ca="1" si="56"/>
        <v>11105.409973962232</v>
      </c>
    </row>
    <row r="87" spans="1:45" outlineLevel="1" x14ac:dyDescent="0.55000000000000004">
      <c r="A87" s="9"/>
      <c r="B87" s="1" t="s">
        <v>7</v>
      </c>
      <c r="C87" s="3">
        <v>2</v>
      </c>
      <c r="D87" s="87">
        <f t="shared" ref="D87:D97" si="67">D86/(1+IF(C87&lt;$F$8,$F$17,$G$17))^(1/4)</f>
        <v>0.99014754297667418</v>
      </c>
      <c r="E87" s="4"/>
      <c r="F87" s="111">
        <f t="shared" si="57"/>
        <v>0.89442719099991586</v>
      </c>
      <c r="G87" s="84">
        <f t="shared" ref="G87:G97" si="68">AVERAGE(F86:F87)</f>
        <v>0.92008440000154579</v>
      </c>
      <c r="H87" s="153">
        <f t="shared" ref="H87:H97" si="69">F87*D87</f>
        <v>0.88561488554009515</v>
      </c>
      <c r="I87" s="4"/>
      <c r="J87" s="115">
        <f t="shared" si="58"/>
        <v>1</v>
      </c>
      <c r="K87" s="155">
        <f t="shared" ref="K87:K97" si="70">J87/$J$77</f>
        <v>8.3333333333333329E-2</v>
      </c>
      <c r="L87" s="154">
        <f t="shared" ref="L87:L97" si="71">J87*G87</f>
        <v>0.92008440000154579</v>
      </c>
      <c r="M87" s="154">
        <f t="shared" ref="M87:M97" si="72">L87*D87</f>
        <v>0.91101930799269804</v>
      </c>
      <c r="N87" s="4"/>
      <c r="O87" s="115">
        <f t="shared" si="59"/>
        <v>1</v>
      </c>
      <c r="P87" s="94">
        <f t="shared" ref="P87:P97" si="73">O87/$O$77</f>
        <v>8.3333333333333329E-2</v>
      </c>
      <c r="Q87" s="154">
        <f t="shared" ref="Q87:Q97" si="74">O87*G87</f>
        <v>0.92008440000154579</v>
      </c>
      <c r="R87" s="154">
        <f t="shared" ref="R87:R97" si="75">Q87*D87</f>
        <v>0.91101930799269804</v>
      </c>
      <c r="S87" s="51"/>
      <c r="T87" s="138">
        <f t="shared" si="60"/>
        <v>0.17818906429460918</v>
      </c>
      <c r="U87" s="135">
        <f t="shared" ref="U87:U97" si="76">T87/$T$100</f>
        <v>0.17818906429460918</v>
      </c>
      <c r="W87" s="63">
        <f t="shared" si="51"/>
        <v>0</v>
      </c>
      <c r="X87" s="63">
        <f t="shared" ref="X87:X97" si="77">$F$21*IF(C87&lt;$F$8,$F$11,$G$11)*P87*((1+$F$18)^(MIN($F$8-1,C87)/4))*((1+$G$18)^(MAX(0,C87-$F$8+1)/4))*F87</f>
        <v>404499.69097639614</v>
      </c>
      <c r="Y87" s="63">
        <f t="shared" ref="Y87:Y97" si="78">-$F$21*IF(C87&lt;$F$8,$F$12,$G$12)*IF($F$28="risk",P87*F87,IF($F$28="policies IF",F87/($F$7*4),1/($F$7*4)))</f>
        <v>-100623.05898749053</v>
      </c>
      <c r="Z87" s="63">
        <v>0</v>
      </c>
      <c r="AA87" s="63">
        <f t="shared" ca="1" si="61"/>
        <v>76971.627004889961</v>
      </c>
      <c r="AB87" s="64">
        <f t="shared" ca="1" si="62"/>
        <v>380848.25899379555</v>
      </c>
      <c r="AC87" s="51"/>
      <c r="AD87" s="51">
        <f t="shared" si="52"/>
        <v>0</v>
      </c>
      <c r="AE87" s="64">
        <f t="shared" si="63"/>
        <v>400514.37515510264</v>
      </c>
      <c r="AF87" s="64">
        <f t="shared" si="64"/>
        <v>-99631.674623260697</v>
      </c>
      <c r="AG87" s="51">
        <f t="shared" si="53"/>
        <v>0</v>
      </c>
      <c r="AH87" s="64">
        <f t="shared" ca="1" si="65"/>
        <v>76213.267357808814</v>
      </c>
      <c r="AI87" s="64">
        <f t="shared" ca="1" si="66"/>
        <v>377095.96788965078</v>
      </c>
      <c r="AJ87" s="57"/>
      <c r="AK87" s="51">
        <f ca="1">SUM(AD87:AD$97,AG87:AG$97)/D87+SUM(AE88:AF$98,AH88:AH$97)/D87</f>
        <v>-2128303.0490820021</v>
      </c>
      <c r="AL87" s="51">
        <f>SUM(AE88:$AF$98)*$G$14/D87</f>
        <v>73557.434525237448</v>
      </c>
      <c r="AM87" s="51"/>
      <c r="AN87" s="51">
        <f ca="1">-SUM(AD87:$AD$98,AH87:$AH$98)/D87</f>
        <v>4503245.9062516941</v>
      </c>
      <c r="AO87" s="51">
        <f ca="1">-SUM(W87:$W$98,AA87:$AA$98)</f>
        <v>4583452.0520423362</v>
      </c>
      <c r="AQ87" s="9">
        <f t="shared" ca="1" si="54"/>
        <v>545.70990092586726</v>
      </c>
      <c r="AR87" s="9">
        <f t="shared" si="55"/>
        <v>351.18705794037669</v>
      </c>
      <c r="AS87" s="9">
        <f t="shared" ca="1" si="56"/>
        <v>11160.525363755412</v>
      </c>
    </row>
    <row r="88" spans="1:45" outlineLevel="1" x14ac:dyDescent="0.55000000000000004">
      <c r="A88" s="9"/>
      <c r="B88" s="1" t="s">
        <v>8</v>
      </c>
      <c r="C88" s="3">
        <v>3</v>
      </c>
      <c r="D88" s="87">
        <f t="shared" si="67"/>
        <v>0.98525777605216036</v>
      </c>
      <c r="E88" s="4"/>
      <c r="F88" s="111">
        <f t="shared" si="57"/>
        <v>0.84589701075245127</v>
      </c>
      <c r="G88" s="84">
        <f t="shared" si="68"/>
        <v>0.87016210087618351</v>
      </c>
      <c r="H88" s="153">
        <f t="shared" si="69"/>
        <v>0.83342660758313047</v>
      </c>
      <c r="I88" s="4"/>
      <c r="J88" s="115">
        <f t="shared" si="58"/>
        <v>1</v>
      </c>
      <c r="K88" s="155">
        <f t="shared" si="70"/>
        <v>8.3333333333333329E-2</v>
      </c>
      <c r="L88" s="154">
        <f t="shared" si="71"/>
        <v>0.87016210087618351</v>
      </c>
      <c r="M88" s="154">
        <f t="shared" si="72"/>
        <v>0.85733397631414421</v>
      </c>
      <c r="N88" s="4"/>
      <c r="O88" s="115">
        <f t="shared" si="59"/>
        <v>1</v>
      </c>
      <c r="P88" s="94">
        <f t="shared" si="73"/>
        <v>8.3333333333333329E-2</v>
      </c>
      <c r="Q88" s="154">
        <f t="shared" si="74"/>
        <v>0.87016210087618351</v>
      </c>
      <c r="R88" s="154">
        <f t="shared" si="75"/>
        <v>0.85733397631414421</v>
      </c>
      <c r="S88" s="51"/>
      <c r="T88" s="138">
        <f t="shared" si="60"/>
        <v>0.20194032380116383</v>
      </c>
      <c r="U88" s="135">
        <f t="shared" si="76"/>
        <v>0.20194032380116383</v>
      </c>
      <c r="W88" s="63">
        <f t="shared" si="51"/>
        <v>0</v>
      </c>
      <c r="X88" s="63">
        <f t="shared" si="77"/>
        <v>383505.00340806198</v>
      </c>
      <c r="Y88" s="63">
        <f t="shared" si="78"/>
        <v>-95163.413709650762</v>
      </c>
      <c r="Z88" s="63">
        <v>0</v>
      </c>
      <c r="AA88" s="63">
        <f t="shared" ca="1" si="61"/>
        <v>36397.635185598439</v>
      </c>
      <c r="AB88" s="64">
        <f t="shared" ca="1" si="62"/>
        <v>324739.22488400969</v>
      </c>
      <c r="AC88" s="51"/>
      <c r="AD88" s="51">
        <f t="shared" si="52"/>
        <v>0</v>
      </c>
      <c r="AE88" s="64">
        <f t="shared" si="63"/>
        <v>377851.28676270333</v>
      </c>
      <c r="AF88" s="64">
        <f t="shared" si="64"/>
        <v>-93760.493353102182</v>
      </c>
      <c r="AG88" s="51">
        <f t="shared" si="53"/>
        <v>0</v>
      </c>
      <c r="AH88" s="64">
        <f t="shared" ca="1" si="65"/>
        <v>35861.053096520576</v>
      </c>
      <c r="AI88" s="64">
        <f t="shared" ca="1" si="66"/>
        <v>319951.84650612174</v>
      </c>
      <c r="AJ88" s="57"/>
      <c r="AK88" s="51">
        <f ca="1">SUM(AD88:AD$97,AG88:AG$97)/D88+SUM(AE89:AF$98,AH89:AH$97)/D88</f>
        <v>-2463604.8963656472</v>
      </c>
      <c r="AL88" s="51">
        <f>SUM(AE89:$AF$98)*$G$14/D88</f>
        <v>65272.247348534278</v>
      </c>
      <c r="AM88" s="51"/>
      <c r="AN88" s="51">
        <f ca="1">-SUM(AD88:$AD$98,AH88:$AH$98)/D88</f>
        <v>4602948.8394645248</v>
      </c>
      <c r="AO88" s="51">
        <f ca="1">-SUM(W88:$W$98,AA88:$AA$98)</f>
        <v>4660423.679047226</v>
      </c>
      <c r="AQ88" s="9">
        <f t="shared" ca="1" si="54"/>
        <v>548.41822182200849</v>
      </c>
      <c r="AR88" s="9">
        <f t="shared" si="55"/>
        <v>352.92997527831176</v>
      </c>
      <c r="AS88" s="9">
        <f t="shared" ca="1" si="56"/>
        <v>11215.914287456311</v>
      </c>
    </row>
    <row r="89" spans="1:45" outlineLevel="1" x14ac:dyDescent="0.55000000000000004">
      <c r="A89" s="9"/>
      <c r="B89" s="1" t="s">
        <v>9</v>
      </c>
      <c r="C89" s="3">
        <v>4</v>
      </c>
      <c r="D89" s="87">
        <f t="shared" si="67"/>
        <v>0.98039215686274483</v>
      </c>
      <c r="E89" s="4"/>
      <c r="F89" s="111">
        <f t="shared" si="57"/>
        <v>0.8</v>
      </c>
      <c r="G89" s="84">
        <f t="shared" si="68"/>
        <v>0.82294850537622566</v>
      </c>
      <c r="H89" s="153">
        <f t="shared" si="69"/>
        <v>0.78431372549019596</v>
      </c>
      <c r="I89" s="4"/>
      <c r="J89" s="115">
        <f t="shared" si="58"/>
        <v>1</v>
      </c>
      <c r="K89" s="155">
        <f t="shared" si="70"/>
        <v>8.3333333333333329E-2</v>
      </c>
      <c r="L89" s="154">
        <f t="shared" si="71"/>
        <v>0.82294850537622566</v>
      </c>
      <c r="M89" s="154">
        <f t="shared" si="72"/>
        <v>0.80681226017277008</v>
      </c>
      <c r="N89" s="4"/>
      <c r="O89" s="115">
        <f t="shared" si="59"/>
        <v>1</v>
      </c>
      <c r="P89" s="94">
        <f t="shared" si="73"/>
        <v>8.3333333333333329E-2</v>
      </c>
      <c r="Q89" s="154">
        <f t="shared" si="74"/>
        <v>0.82294850537622566</v>
      </c>
      <c r="R89" s="154">
        <f t="shared" si="75"/>
        <v>0.80681226017277008</v>
      </c>
      <c r="S89" s="51"/>
      <c r="T89" s="138">
        <f t="shared" si="60"/>
        <v>0.20709640104961757</v>
      </c>
      <c r="U89" s="135">
        <f t="shared" si="76"/>
        <v>0.20709640104961757</v>
      </c>
      <c r="W89" s="63">
        <f t="shared" si="51"/>
        <v>-2400000</v>
      </c>
      <c r="X89" s="63">
        <f t="shared" si="77"/>
        <v>363600</v>
      </c>
      <c r="Y89" s="63">
        <f t="shared" si="78"/>
        <v>-90000</v>
      </c>
      <c r="Z89" s="63">
        <v>0</v>
      </c>
      <c r="AA89" s="63">
        <f t="shared" ca="1" si="61"/>
        <v>0</v>
      </c>
      <c r="AB89" s="64">
        <f t="shared" ca="1" si="62"/>
        <v>-2126400</v>
      </c>
      <c r="AC89" s="51"/>
      <c r="AD89" s="51">
        <f t="shared" si="52"/>
        <v>-2352941.1764705875</v>
      </c>
      <c r="AE89" s="64">
        <f t="shared" si="63"/>
        <v>356470.58823529404</v>
      </c>
      <c r="AF89" s="64">
        <f t="shared" si="64"/>
        <v>-88235.294117647034</v>
      </c>
      <c r="AG89" s="51">
        <f t="shared" si="53"/>
        <v>0</v>
      </c>
      <c r="AH89" s="64">
        <f t="shared" ca="1" si="65"/>
        <v>0</v>
      </c>
      <c r="AI89" s="64">
        <f t="shared" ca="1" si="66"/>
        <v>-2084705.8823529405</v>
      </c>
      <c r="AJ89" s="57"/>
      <c r="AK89" s="51">
        <f ca="1">SUM(AD89:AD$97,AG89:AG$97)/D89+SUM(AE90:AF$98,AH90:AH$97)/D89</f>
        <v>-2749431.5988897197</v>
      </c>
      <c r="AL89" s="51">
        <f>SUM(AE90:$AF$98)*$G$14/D89</f>
        <v>57388.189045754283</v>
      </c>
      <c r="AM89" s="51"/>
      <c r="AN89" s="51">
        <f ca="1">-SUM(AD89:$AD$98,AH89:$AH$98)/D89</f>
        <v>4662371.2337481966</v>
      </c>
      <c r="AO89" s="51">
        <f ca="1">-SUM(W89:$W$98,AA89:$AA$98)</f>
        <v>4696821.3142328244</v>
      </c>
      <c r="AQ89" s="9">
        <f t="shared" ca="1" si="54"/>
        <v>551.1399839296937</v>
      </c>
      <c r="AR89" s="9">
        <f t="shared" si="55"/>
        <v>354.68154259575385</v>
      </c>
      <c r="AS89" s="9">
        <f t="shared" ca="1" si="56"/>
        <v>11271.578102596104</v>
      </c>
    </row>
    <row r="90" spans="1:45" outlineLevel="1" x14ac:dyDescent="0.55000000000000004">
      <c r="A90" s="9"/>
      <c r="B90" s="1" t="s">
        <v>15</v>
      </c>
      <c r="C90" s="3">
        <v>5</v>
      </c>
      <c r="D90" s="87">
        <f t="shared" si="67"/>
        <v>0.97555056615670888</v>
      </c>
      <c r="E90" s="4"/>
      <c r="F90" s="111">
        <f t="shared" si="57"/>
        <v>0.75659328720254071</v>
      </c>
      <c r="G90" s="84">
        <f t="shared" si="68"/>
        <v>0.77829664360127038</v>
      </c>
      <c r="H90" s="153">
        <f t="shared" si="69"/>
        <v>0.73809500968080399</v>
      </c>
      <c r="I90" s="4"/>
      <c r="J90" s="115">
        <f t="shared" si="58"/>
        <v>1</v>
      </c>
      <c r="K90" s="155">
        <f t="shared" si="70"/>
        <v>8.3333333333333329E-2</v>
      </c>
      <c r="L90" s="154">
        <f t="shared" si="71"/>
        <v>0.77829664360127038</v>
      </c>
      <c r="M90" s="154">
        <f t="shared" si="72"/>
        <v>0.75926773130308556</v>
      </c>
      <c r="N90" s="4"/>
      <c r="O90" s="115">
        <f t="shared" si="59"/>
        <v>1</v>
      </c>
      <c r="P90" s="94">
        <f t="shared" si="73"/>
        <v>8.3333333333333329E-2</v>
      </c>
      <c r="Q90" s="154">
        <f t="shared" si="74"/>
        <v>0.77829664360127038</v>
      </c>
      <c r="R90" s="154">
        <f t="shared" si="75"/>
        <v>0.75926773130308556</v>
      </c>
      <c r="S90" s="51"/>
      <c r="T90" s="138">
        <f t="shared" si="60"/>
        <v>8.3175297485096111E-2</v>
      </c>
      <c r="U90" s="135">
        <f t="shared" si="76"/>
        <v>8.3175297485096111E-2</v>
      </c>
      <c r="W90" s="63">
        <f t="shared" si="51"/>
        <v>0</v>
      </c>
      <c r="X90" s="63">
        <f t="shared" si="77"/>
        <v>344728.12303658418</v>
      </c>
      <c r="Y90" s="63">
        <f t="shared" si="78"/>
        <v>-85116.744810285833</v>
      </c>
      <c r="Z90" s="63">
        <v>0</v>
      </c>
      <c r="AA90" s="63">
        <f t="shared" ca="1" si="61"/>
        <v>78132.083035426811</v>
      </c>
      <c r="AB90" s="64">
        <f t="shared" ca="1" si="62"/>
        <v>337743.46126172517</v>
      </c>
      <c r="AC90" s="51"/>
      <c r="AD90" s="51">
        <f t="shared" si="52"/>
        <v>0</v>
      </c>
      <c r="AE90" s="64">
        <f t="shared" si="63"/>
        <v>336299.71559847926</v>
      </c>
      <c r="AF90" s="64">
        <f t="shared" si="64"/>
        <v>-83035.688589090452</v>
      </c>
      <c r="AG90" s="51">
        <f t="shared" si="53"/>
        <v>0</v>
      </c>
      <c r="AH90" s="64">
        <f t="shared" ca="1" si="65"/>
        <v>76221.797840213621</v>
      </c>
      <c r="AI90" s="64">
        <f t="shared" ca="1" si="66"/>
        <v>329485.82484960242</v>
      </c>
      <c r="AJ90" s="57"/>
      <c r="AK90" s="51">
        <f ca="1">SUM(AD90:AD$97,AG90:AG$97)/D90+SUM(AE91:AF$98,AH91:AH$97)/D90</f>
        <v>-688909.26526624965</v>
      </c>
      <c r="AL90" s="51">
        <f>SUM(AE91:$AF$98)*$G$14/D90</f>
        <v>49884.661354309494</v>
      </c>
      <c r="AM90" s="51"/>
      <c r="AN90" s="51">
        <f ca="1">-SUM(AD90:$AD$98,AH90:$AH$98)/D90</f>
        <v>2273599.2273744731</v>
      </c>
      <c r="AO90" s="51">
        <f ca="1">-SUM(W90:$W$98,AA90:$AA$98)</f>
        <v>2296821.3142328248</v>
      </c>
      <c r="AQ90" s="9">
        <f t="shared" ca="1" si="54"/>
        <v>553.87525395769626</v>
      </c>
      <c r="AR90" s="9">
        <f t="shared" si="55"/>
        <v>356.44180282193702</v>
      </c>
      <c r="AS90" s="9">
        <f t="shared" ca="1" si="56"/>
        <v>11327.518173439428</v>
      </c>
    </row>
    <row r="91" spans="1:45" outlineLevel="1" x14ac:dyDescent="0.55000000000000004">
      <c r="A91" s="9"/>
      <c r="B91" s="1" t="s">
        <v>16</v>
      </c>
      <c r="C91" s="3">
        <v>6</v>
      </c>
      <c r="D91" s="87">
        <f t="shared" si="67"/>
        <v>0.9707328852712489</v>
      </c>
      <c r="E91" s="4"/>
      <c r="F91" s="111">
        <f t="shared" si="57"/>
        <v>0.71554175279993271</v>
      </c>
      <c r="G91" s="84">
        <f t="shared" si="68"/>
        <v>0.73606752000123676</v>
      </c>
      <c r="H91" s="153">
        <f t="shared" si="69"/>
        <v>0.69459991022752543</v>
      </c>
      <c r="I91" s="4"/>
      <c r="J91" s="115">
        <f t="shared" si="58"/>
        <v>1</v>
      </c>
      <c r="K91" s="155">
        <f t="shared" si="70"/>
        <v>8.3333333333333329E-2</v>
      </c>
      <c r="L91" s="154">
        <f t="shared" si="71"/>
        <v>0.73606752000123676</v>
      </c>
      <c r="M91" s="154">
        <f t="shared" si="72"/>
        <v>0.7145249474452533</v>
      </c>
      <c r="N91" s="4"/>
      <c r="O91" s="115">
        <f t="shared" si="59"/>
        <v>1</v>
      </c>
      <c r="P91" s="94">
        <f t="shared" si="73"/>
        <v>8.3333333333333329E-2</v>
      </c>
      <c r="Q91" s="154">
        <f t="shared" si="74"/>
        <v>0.73606752000123676</v>
      </c>
      <c r="R91" s="154">
        <f t="shared" si="75"/>
        <v>0.7145249474452533</v>
      </c>
      <c r="S91" s="51"/>
      <c r="T91" s="138">
        <f t="shared" si="60"/>
        <v>5.1890782453176132E-2</v>
      </c>
      <c r="U91" s="135">
        <f t="shared" si="76"/>
        <v>5.1890782453176132E-2</v>
      </c>
      <c r="W91" s="63">
        <f t="shared" si="51"/>
        <v>0</v>
      </c>
      <c r="X91" s="63">
        <f t="shared" si="77"/>
        <v>326835.75030892808</v>
      </c>
      <c r="Y91" s="63">
        <f t="shared" si="78"/>
        <v>-80498.447189992425</v>
      </c>
      <c r="Z91" s="63">
        <v>0</v>
      </c>
      <c r="AA91" s="63">
        <f t="shared" ca="1" si="61"/>
        <v>49261.841283129601</v>
      </c>
      <c r="AB91" s="64">
        <f t="shared" ca="1" si="62"/>
        <v>295599.14440206526</v>
      </c>
      <c r="AC91" s="51"/>
      <c r="AD91" s="51">
        <f t="shared" si="52"/>
        <v>0</v>
      </c>
      <c r="AE91" s="64">
        <f t="shared" si="63"/>
        <v>317270.21090717922</v>
      </c>
      <c r="AF91" s="64">
        <f t="shared" si="64"/>
        <v>-78142.4899005966</v>
      </c>
      <c r="AG91" s="51">
        <f t="shared" si="53"/>
        <v>0</v>
      </c>
      <c r="AH91" s="64">
        <f t="shared" ca="1" si="65"/>
        <v>47820.089322546723</v>
      </c>
      <c r="AI91" s="64">
        <f t="shared" ca="1" si="66"/>
        <v>286947.81032912934</v>
      </c>
      <c r="AJ91" s="57"/>
      <c r="AK91" s="51">
        <f ca="1">SUM(AD91:AD$97,AG91:AG$97)/D91+SUM(AE92:AF$98,AH92:AH$97)/D91</f>
        <v>-987927.41921197739</v>
      </c>
      <c r="AL91" s="51">
        <f>SUM(AE92:$AF$98)*$G$14/D91</f>
        <v>42742.11642159531</v>
      </c>
      <c r="AM91" s="51"/>
      <c r="AN91" s="51">
        <f ca="1">-SUM(AD91:$AD$98,AH91:$AH$98)/D91</f>
        <v>2363402.7919820254</v>
      </c>
      <c r="AO91" s="51">
        <f ca="1">-SUM(W91:$W$98,AA91:$AA$98)</f>
        <v>2374953.3972682515</v>
      </c>
      <c r="AQ91" s="9">
        <f t="shared" ca="1" si="54"/>
        <v>556.62409894377925</v>
      </c>
      <c r="AR91" s="9">
        <f t="shared" si="55"/>
        <v>358.21079909917171</v>
      </c>
      <c r="AS91" s="9">
        <f t="shared" ca="1" si="56"/>
        <v>11383.735871028621</v>
      </c>
    </row>
    <row r="92" spans="1:45" outlineLevel="1" x14ac:dyDescent="0.55000000000000004">
      <c r="A92" s="9"/>
      <c r="B92" s="1" t="s">
        <v>17</v>
      </c>
      <c r="C92" s="3">
        <v>7</v>
      </c>
      <c r="D92" s="87">
        <f t="shared" si="67"/>
        <v>0.96832110791813664</v>
      </c>
      <c r="E92" s="4"/>
      <c r="F92" s="111">
        <f t="shared" si="57"/>
        <v>0.83161897782507621</v>
      </c>
      <c r="G92" s="84">
        <f t="shared" si="68"/>
        <v>0.7735803653125044</v>
      </c>
      <c r="H92" s="153">
        <f t="shared" si="69"/>
        <v>0.8052742099733261</v>
      </c>
      <c r="I92" s="4"/>
      <c r="J92" s="115">
        <f t="shared" si="58"/>
        <v>1</v>
      </c>
      <c r="K92" s="155">
        <f t="shared" si="70"/>
        <v>8.3333333333333329E-2</v>
      </c>
      <c r="L92" s="154">
        <f t="shared" si="71"/>
        <v>0.7735803653125044</v>
      </c>
      <c r="M92" s="154">
        <f t="shared" si="72"/>
        <v>0.74907419640312112</v>
      </c>
      <c r="N92" s="4"/>
      <c r="O92" s="115">
        <f t="shared" si="59"/>
        <v>1</v>
      </c>
      <c r="P92" s="94">
        <f t="shared" si="73"/>
        <v>8.3333333333333329E-2</v>
      </c>
      <c r="Q92" s="154">
        <f t="shared" si="74"/>
        <v>0.7735803653125044</v>
      </c>
      <c r="R92" s="154">
        <f t="shared" si="75"/>
        <v>0.74907419640312112</v>
      </c>
      <c r="S92" s="51"/>
      <c r="T92" s="138">
        <f t="shared" si="60"/>
        <v>2.7830892374108518E-2</v>
      </c>
      <c r="U92" s="135">
        <f t="shared" si="76"/>
        <v>2.7830892374108518E-2</v>
      </c>
      <c r="W92" s="63">
        <f t="shared" si="51"/>
        <v>0</v>
      </c>
      <c r="X92" s="63">
        <f t="shared" si="77"/>
        <v>316941.59221930109</v>
      </c>
      <c r="Y92" s="63">
        <f t="shared" si="78"/>
        <v>-62371.423336880711</v>
      </c>
      <c r="Z92" s="63">
        <v>0</v>
      </c>
      <c r="AA92" s="63">
        <f t="shared" ca="1" si="61"/>
        <v>-69646.335015086108</v>
      </c>
      <c r="AB92" s="64">
        <f t="shared" ca="1" si="62"/>
        <v>184923.83386733427</v>
      </c>
      <c r="AC92" s="51"/>
      <c r="AD92" s="51">
        <f t="shared" si="52"/>
        <v>0</v>
      </c>
      <c r="AE92" s="64">
        <f t="shared" si="63"/>
        <v>306901.23372313188</v>
      </c>
      <c r="AF92" s="64">
        <f t="shared" si="64"/>
        <v>-60395.565747999455</v>
      </c>
      <c r="AG92" s="51">
        <f t="shared" si="53"/>
        <v>0</v>
      </c>
      <c r="AH92" s="64">
        <f t="shared" ca="1" si="65"/>
        <v>-67440.016284245896</v>
      </c>
      <c r="AI92" s="64">
        <f t="shared" ca="1" si="66"/>
        <v>179065.65169088653</v>
      </c>
      <c r="AJ92" s="57"/>
      <c r="AK92" s="51">
        <f ca="1">SUM(AD92:AD$97,AG92:AG$97)/D92+SUM(AE93:AF$98,AH93:AH$97)/D92</f>
        <v>-1175311.8634663937</v>
      </c>
      <c r="AL92" s="51">
        <f>SUM(AE93:$AF$98)*$G$14/D92</f>
        <v>35211.468260344278</v>
      </c>
      <c r="AM92" s="51"/>
      <c r="AN92" s="51">
        <f ca="1">-SUM(AD92:$AD$98,AH92:$AH$98)/D92</f>
        <v>2418673.8071596222</v>
      </c>
      <c r="AO92" s="51">
        <f ca="1">-SUM(W92:$W$98,AA92:$AA$98)</f>
        <v>2424215.238551381</v>
      </c>
      <c r="AQ92" s="9">
        <f t="shared" ca="1" si="54"/>
        <v>3001.7923800176941</v>
      </c>
      <c r="AR92" s="9">
        <f t="shared" si="55"/>
        <v>254.31928091117879</v>
      </c>
      <c r="AS92" s="9">
        <f t="shared" ca="1" si="56"/>
        <v>5475.516983687412</v>
      </c>
    </row>
    <row r="93" spans="1:45" outlineLevel="1" x14ac:dyDescent="0.55000000000000004">
      <c r="A93" s="9"/>
      <c r="B93" s="1" t="s">
        <v>18</v>
      </c>
      <c r="C93" s="3">
        <v>8</v>
      </c>
      <c r="D93" s="87">
        <f t="shared" si="67"/>
        <v>0.96591532260473922</v>
      </c>
      <c r="E93" s="4"/>
      <c r="F93" s="111">
        <f t="shared" si="57"/>
        <v>0.81</v>
      </c>
      <c r="G93" s="84">
        <f t="shared" si="68"/>
        <v>0.82080948891253813</v>
      </c>
      <c r="H93" s="153">
        <f t="shared" si="69"/>
        <v>0.7823914113098388</v>
      </c>
      <c r="I93" s="4"/>
      <c r="J93" s="115">
        <f t="shared" si="58"/>
        <v>1</v>
      </c>
      <c r="K93" s="155">
        <f t="shared" si="70"/>
        <v>8.3333333333333329E-2</v>
      </c>
      <c r="L93" s="154">
        <f t="shared" si="71"/>
        <v>0.82080948891253813</v>
      </c>
      <c r="M93" s="154">
        <f t="shared" si="72"/>
        <v>0.79283246227998538</v>
      </c>
      <c r="N93" s="4"/>
      <c r="O93" s="115">
        <f t="shared" si="59"/>
        <v>1</v>
      </c>
      <c r="P93" s="94">
        <f t="shared" si="73"/>
        <v>8.3333333333333329E-2</v>
      </c>
      <c r="Q93" s="154">
        <f t="shared" si="74"/>
        <v>0.82080948891253813</v>
      </c>
      <c r="R93" s="154">
        <f t="shared" si="75"/>
        <v>0.79283246227998538</v>
      </c>
      <c r="S93" s="51"/>
      <c r="T93" s="138">
        <f t="shared" si="60"/>
        <v>1.5225286106495761E-2</v>
      </c>
      <c r="U93" s="135">
        <f t="shared" si="76"/>
        <v>1.5225286106495761E-2</v>
      </c>
      <c r="W93" s="63">
        <f t="shared" si="51"/>
        <v>-2430000</v>
      </c>
      <c r="X93" s="63">
        <f t="shared" si="77"/>
        <v>309087.45467440371</v>
      </c>
      <c r="Y93" s="63">
        <f t="shared" si="78"/>
        <v>-60750.000000000007</v>
      </c>
      <c r="Z93" s="63">
        <v>0</v>
      </c>
      <c r="AA93" s="63">
        <f t="shared" ca="1" si="61"/>
        <v>0</v>
      </c>
      <c r="AB93" s="64">
        <f t="shared" ca="1" si="62"/>
        <v>-2181662.5453255964</v>
      </c>
      <c r="AC93" s="51"/>
      <c r="AD93" s="51">
        <f t="shared" si="52"/>
        <v>-2347174.2339295163</v>
      </c>
      <c r="AE93" s="64">
        <f t="shared" si="63"/>
        <v>298552.30849490437</v>
      </c>
      <c r="AF93" s="64">
        <f t="shared" si="64"/>
        <v>-58679.355848237916</v>
      </c>
      <c r="AG93" s="51">
        <f t="shared" si="53"/>
        <v>0</v>
      </c>
      <c r="AH93" s="64">
        <f t="shared" ca="1" si="65"/>
        <v>0</v>
      </c>
      <c r="AI93" s="64">
        <f t="shared" ca="1" si="66"/>
        <v>-2107301.2812828501</v>
      </c>
      <c r="AJ93" s="57"/>
      <c r="AK93" s="51">
        <f ca="1">SUM(AD93:AD$97,AG93:AG$97)/D93+SUM(AE94:AF$98,AH94:AH$97)/D93</f>
        <v>-1426576.643087009</v>
      </c>
      <c r="AL93" s="51">
        <f>SUM(AE94:$AF$98)*$G$14/D93</f>
        <v>27849.045095735084</v>
      </c>
      <c r="AM93" s="51"/>
      <c r="AN93" s="51">
        <f ca="1">-SUM(AD93:$AD$98,AH93:$AH$98)/D93</f>
        <v>2354878.1462781788</v>
      </c>
      <c r="AO93" s="51">
        <f ca="1">-SUM(W93:$W$98,AA93:$AA$98)</f>
        <v>2354568.9035362951</v>
      </c>
      <c r="AQ93" s="9">
        <f t="shared" ca="1" si="54"/>
        <v>5922.3574795434251</v>
      </c>
      <c r="AR93" s="9">
        <f t="shared" si="55"/>
        <v>168.52981815487146</v>
      </c>
      <c r="AS93" s="9">
        <f t="shared" ca="1" si="56"/>
        <v>-304.69687438104302</v>
      </c>
    </row>
    <row r="94" spans="1:45" outlineLevel="1" x14ac:dyDescent="0.55000000000000004">
      <c r="A94" s="9"/>
      <c r="B94" s="1" t="s">
        <v>19</v>
      </c>
      <c r="C94" s="3">
        <v>9</v>
      </c>
      <c r="D94" s="87">
        <f t="shared" si="67"/>
        <v>0.96351551444388639</v>
      </c>
      <c r="E94" s="4"/>
      <c r="F94" s="111">
        <f t="shared" si="57"/>
        <v>0.78894303460449045</v>
      </c>
      <c r="G94" s="84">
        <f t="shared" si="68"/>
        <v>0.7994715173022453</v>
      </c>
      <c r="H94" s="153">
        <f t="shared" si="69"/>
        <v>0.7601588538538665</v>
      </c>
      <c r="I94" s="4"/>
      <c r="J94" s="115">
        <f t="shared" si="58"/>
        <v>1</v>
      </c>
      <c r="K94" s="155">
        <f t="shared" si="70"/>
        <v>8.3333333333333329E-2</v>
      </c>
      <c r="L94" s="154">
        <f t="shared" si="71"/>
        <v>0.7994715173022453</v>
      </c>
      <c r="M94" s="154">
        <f t="shared" si="72"/>
        <v>0.77030321027670734</v>
      </c>
      <c r="N94" s="4"/>
      <c r="O94" s="115">
        <f t="shared" si="59"/>
        <v>1</v>
      </c>
      <c r="P94" s="94">
        <f t="shared" si="73"/>
        <v>8.3333333333333329E-2</v>
      </c>
      <c r="Q94" s="154">
        <f t="shared" si="74"/>
        <v>0.7994715173022453</v>
      </c>
      <c r="R94" s="154">
        <f t="shared" si="75"/>
        <v>0.77030321027670734</v>
      </c>
      <c r="S94" s="51"/>
      <c r="T94" s="138">
        <f t="shared" si="60"/>
        <v>1.3868361840445591E-2</v>
      </c>
      <c r="U94" s="135">
        <f t="shared" si="76"/>
        <v>1.3868361840445591E-2</v>
      </c>
      <c r="W94" s="63">
        <f t="shared" si="51"/>
        <v>0</v>
      </c>
      <c r="X94" s="63">
        <f t="shared" si="77"/>
        <v>301427.95070896874</v>
      </c>
      <c r="Y94" s="63">
        <f t="shared" si="78"/>
        <v>-59170.727595336772</v>
      </c>
      <c r="Z94" s="63">
        <v>0</v>
      </c>
      <c r="AA94" s="63">
        <f t="shared" ca="1" si="61"/>
        <v>38376.319433316261</v>
      </c>
      <c r="AB94" s="64">
        <f t="shared" ca="1" si="62"/>
        <v>280633.54254694824</v>
      </c>
      <c r="AC94" s="51"/>
      <c r="AD94" s="51">
        <f t="shared" si="52"/>
        <v>0</v>
      </c>
      <c r="AE94" s="64">
        <f t="shared" si="63"/>
        <v>290430.50699511846</v>
      </c>
      <c r="AF94" s="64">
        <f t="shared" si="64"/>
        <v>-57011.914039039977</v>
      </c>
      <c r="AG94" s="51">
        <f t="shared" si="53"/>
        <v>0</v>
      </c>
      <c r="AH94" s="64">
        <f t="shared" ca="1" si="65"/>
        <v>36976.179161254629</v>
      </c>
      <c r="AI94" s="64">
        <f t="shared" ca="1" si="66"/>
        <v>270394.77211733308</v>
      </c>
      <c r="AJ94" s="57"/>
      <c r="AK94" s="51">
        <f ca="1">SUM(AD94:AD$97,AG94:AG$97)/D94+SUM(AE95:AF$98,AH95:AH$97)/D94</f>
        <v>725289.02016461256</v>
      </c>
      <c r="AL94" s="51">
        <f>SUM(AE95:$AF$98)*$G$14/D94</f>
        <v>20650.691442869665</v>
      </c>
      <c r="AM94" s="51"/>
      <c r="AN94" s="51">
        <f ca="1">-SUM(AD94:$AD$98,AH94:$AH$98)/D94</f>
        <v>-75308.958168939847</v>
      </c>
      <c r="AO94" s="51">
        <f ca="1">-SUM(W94:$W$98,AA94:$AA$98)</f>
        <v>-75431.096463705107</v>
      </c>
      <c r="AQ94" s="9">
        <f t="shared" ca="1" si="54"/>
        <v>3471.0340737225488</v>
      </c>
      <c r="AR94" s="9">
        <f t="shared" si="55"/>
        <v>100.51635546475882</v>
      </c>
      <c r="AS94" s="9">
        <f t="shared" ca="1" si="56"/>
        <v>-120.48889156381483</v>
      </c>
    </row>
    <row r="95" spans="1:45" outlineLevel="1" x14ac:dyDescent="0.55000000000000004">
      <c r="A95" s="9"/>
      <c r="B95" s="1" t="s">
        <v>20</v>
      </c>
      <c r="C95" s="3">
        <v>10</v>
      </c>
      <c r="D95" s="87">
        <f t="shared" si="67"/>
        <v>0.96112166858539494</v>
      </c>
      <c r="E95" s="4"/>
      <c r="F95" s="111">
        <f t="shared" si="57"/>
        <v>0.76843347142091623</v>
      </c>
      <c r="G95" s="84">
        <f t="shared" si="68"/>
        <v>0.77868825301270328</v>
      </c>
      <c r="H95" s="153">
        <f t="shared" si="69"/>
        <v>0.73855806024893844</v>
      </c>
      <c r="I95" s="4"/>
      <c r="J95" s="115">
        <f t="shared" si="58"/>
        <v>1</v>
      </c>
      <c r="K95" s="155">
        <f t="shared" si="70"/>
        <v>8.3333333333333329E-2</v>
      </c>
      <c r="L95" s="154">
        <f t="shared" si="71"/>
        <v>0.77868825301270328</v>
      </c>
      <c r="M95" s="154">
        <f t="shared" si="72"/>
        <v>0.74841415304341552</v>
      </c>
      <c r="N95" s="4"/>
      <c r="O95" s="115">
        <f t="shared" si="59"/>
        <v>1</v>
      </c>
      <c r="P95" s="94">
        <f t="shared" si="73"/>
        <v>8.3333333333333329E-2</v>
      </c>
      <c r="Q95" s="154">
        <f t="shared" si="74"/>
        <v>0.77868825301270328</v>
      </c>
      <c r="R95" s="154">
        <f t="shared" si="75"/>
        <v>0.74841415304341552</v>
      </c>
      <c r="S95" s="51"/>
      <c r="T95" s="138">
        <f t="shared" si="60"/>
        <v>5.0809898881113407E-3</v>
      </c>
      <c r="U95" s="135">
        <f t="shared" si="76"/>
        <v>5.0809898881113407E-3</v>
      </c>
      <c r="W95" s="63">
        <f t="shared" si="51"/>
        <v>0</v>
      </c>
      <c r="X95" s="63">
        <f t="shared" si="77"/>
        <v>293958.25710338255</v>
      </c>
      <c r="Y95" s="63">
        <f t="shared" si="78"/>
        <v>-57632.510356568717</v>
      </c>
      <c r="Z95" s="63">
        <v>0</v>
      </c>
      <c r="AA95" s="63">
        <f t="shared" ca="1" si="61"/>
        <v>24919.119268042676</v>
      </c>
      <c r="AB95" s="64">
        <f t="shared" ca="1" si="62"/>
        <v>261244.8660148565</v>
      </c>
      <c r="AC95" s="51"/>
      <c r="AD95" s="51">
        <f t="shared" si="52"/>
        <v>0</v>
      </c>
      <c r="AE95" s="64">
        <f t="shared" si="63"/>
        <v>282529.65056165756</v>
      </c>
      <c r="AF95" s="64">
        <f t="shared" si="64"/>
        <v>-55391.854518670378</v>
      </c>
      <c r="AG95" s="51">
        <f t="shared" si="53"/>
        <v>0</v>
      </c>
      <c r="AH95" s="64">
        <f t="shared" ca="1" si="65"/>
        <v>23950.305490579642</v>
      </c>
      <c r="AI95" s="64">
        <f t="shared" ca="1" si="66"/>
        <v>251088.10153356681</v>
      </c>
      <c r="AJ95" s="57"/>
      <c r="AK95" s="51">
        <f ca="1">SUM(AD95:AD$97,AG95:AG$97)/D95+SUM(AE96:AF$98,AH96:AH$97)/D95</f>
        <v>465850.61650918436</v>
      </c>
      <c r="AL95" s="51">
        <f>SUM(AE96:$AF$98)*$G$14/D95</f>
        <v>13612.353290468438</v>
      </c>
      <c r="AM95" s="51"/>
      <c r="AN95" s="51">
        <f ca="1">-SUM(AD95:$AD$98,AH95:$AH$98)/D95</f>
        <v>-37024.626094945714</v>
      </c>
      <c r="AO95" s="51">
        <f ca="1">-SUM(W95:$W$98,AA95:$AA$98)</f>
        <v>-37054.777030388854</v>
      </c>
      <c r="AQ95" s="9">
        <f t="shared" ca="1" si="54"/>
        <v>1695.1631598739768</v>
      </c>
      <c r="AR95" s="9">
        <f t="shared" si="55"/>
        <v>49.961492691798412</v>
      </c>
      <c r="AS95" s="9">
        <f t="shared" ca="1" si="56"/>
        <v>-29.780070147346123</v>
      </c>
    </row>
    <row r="96" spans="1:45" outlineLevel="1" x14ac:dyDescent="0.55000000000000004">
      <c r="A96" s="9"/>
      <c r="B96" s="1" t="s">
        <v>21</v>
      </c>
      <c r="C96" s="3">
        <v>11</v>
      </c>
      <c r="D96" s="87">
        <f t="shared" si="67"/>
        <v>0.95873377021597694</v>
      </c>
      <c r="E96" s="4"/>
      <c r="F96" s="111">
        <f t="shared" si="57"/>
        <v>0.74845708004256861</v>
      </c>
      <c r="G96" s="84">
        <f t="shared" si="68"/>
        <v>0.75844527573174236</v>
      </c>
      <c r="H96" s="153">
        <f t="shared" si="69"/>
        <v>0.71757107819405308</v>
      </c>
      <c r="I96" s="4"/>
      <c r="J96" s="115">
        <f t="shared" si="58"/>
        <v>1</v>
      </c>
      <c r="K96" s="155">
        <f t="shared" si="70"/>
        <v>8.3333333333333329E-2</v>
      </c>
      <c r="L96" s="154">
        <f t="shared" si="71"/>
        <v>0.75844527573174236</v>
      </c>
      <c r="M96" s="154">
        <f t="shared" si="72"/>
        <v>0.72714709870478955</v>
      </c>
      <c r="N96" s="4"/>
      <c r="O96" s="115">
        <f t="shared" si="59"/>
        <v>1</v>
      </c>
      <c r="P96" s="94">
        <f t="shared" si="73"/>
        <v>8.3333333333333329E-2</v>
      </c>
      <c r="Q96" s="154">
        <f t="shared" si="74"/>
        <v>0.75844527573174236</v>
      </c>
      <c r="R96" s="154">
        <f t="shared" si="75"/>
        <v>0.72714709870478955</v>
      </c>
      <c r="S96" s="51"/>
      <c r="T96" s="138">
        <f t="shared" si="60"/>
        <v>6.0769058883075608E-3</v>
      </c>
      <c r="U96" s="135">
        <f t="shared" si="76"/>
        <v>6.0769058883075608E-3</v>
      </c>
      <c r="W96" s="63">
        <f t="shared" si="51"/>
        <v>0</v>
      </c>
      <c r="X96" s="63">
        <f t="shared" si="77"/>
        <v>286673.67016235786</v>
      </c>
      <c r="Y96" s="63">
        <f t="shared" si="78"/>
        <v>-56134.281003192642</v>
      </c>
      <c r="Z96" s="63">
        <v>0</v>
      </c>
      <c r="AA96" s="63">
        <f t="shared" ca="1" si="61"/>
        <v>12135.657762346174</v>
      </c>
      <c r="AB96" s="64">
        <f t="shared" ca="1" si="62"/>
        <v>242675.04692151138</v>
      </c>
      <c r="AC96" s="51"/>
      <c r="AD96" s="51">
        <f t="shared" si="52"/>
        <v>0</v>
      </c>
      <c r="AE96" s="64">
        <f t="shared" si="63"/>
        <v>274843.72861640877</v>
      </c>
      <c r="AF96" s="64">
        <f t="shared" si="64"/>
        <v>-53817.830864553973</v>
      </c>
      <c r="AG96" s="51">
        <f t="shared" si="53"/>
        <v>0</v>
      </c>
      <c r="AH96" s="64">
        <f t="shared" ca="1" si="65"/>
        <v>11634.864920544935</v>
      </c>
      <c r="AI96" s="64">
        <f t="shared" ca="1" si="66"/>
        <v>232660.76267239972</v>
      </c>
      <c r="AJ96" s="57"/>
      <c r="AK96" s="51">
        <f ca="1">SUM(AD96:AD$97,AG96:AG$97)/D96+SUM(AE97:AF$98,AH97:AH$97)/D96</f>
        <v>224335.85408177605</v>
      </c>
      <c r="AL96" s="51">
        <f>SUM(AE97:$AF$98)*$G$14/D96</f>
        <v>6730.0756224532815</v>
      </c>
      <c r="AM96" s="51"/>
      <c r="AN96" s="51">
        <f ca="1">-SUM(AD96:$AD$98,AH96:$AH$98)/D96</f>
        <v>-12135.657762346174</v>
      </c>
      <c r="AO96" s="51">
        <f ca="1">-SUM(W96:$W$98,AA96:$AA$98)</f>
        <v>-12135.657762346174</v>
      </c>
      <c r="AQ96" s="9">
        <f t="shared" ca="1" si="54"/>
        <v>551.87589967506938</v>
      </c>
      <c r="AR96" s="9">
        <f t="shared" si="55"/>
        <v>16.556276990251718</v>
      </c>
      <c r="AS96" s="9">
        <f t="shared" ca="1" si="56"/>
        <v>0</v>
      </c>
    </row>
    <row r="97" spans="1:48" outlineLevel="1" x14ac:dyDescent="0.55000000000000004">
      <c r="A97" s="9"/>
      <c r="B97" s="1" t="s">
        <v>22</v>
      </c>
      <c r="C97" s="3">
        <v>12</v>
      </c>
      <c r="D97" s="87">
        <f t="shared" si="67"/>
        <v>0.95635180455914781</v>
      </c>
      <c r="E97" s="4"/>
      <c r="F97" s="111">
        <f t="shared" si="57"/>
        <v>0.72900000000000009</v>
      </c>
      <c r="G97" s="84">
        <f t="shared" si="68"/>
        <v>0.73872854002128441</v>
      </c>
      <c r="H97" s="153">
        <f t="shared" si="69"/>
        <v>0.6971804655236189</v>
      </c>
      <c r="I97" s="4"/>
      <c r="J97" s="115">
        <f t="shared" si="58"/>
        <v>1</v>
      </c>
      <c r="K97" s="155">
        <f t="shared" si="70"/>
        <v>8.3333333333333329E-2</v>
      </c>
      <c r="L97" s="154">
        <f t="shared" si="71"/>
        <v>0.73872854002128441</v>
      </c>
      <c r="M97" s="154">
        <f t="shared" si="72"/>
        <v>0.70648437232869998</v>
      </c>
      <c r="N97" s="4"/>
      <c r="O97" s="115">
        <f t="shared" si="59"/>
        <v>1</v>
      </c>
      <c r="P97" s="94">
        <f t="shared" si="73"/>
        <v>8.3333333333333329E-2</v>
      </c>
      <c r="Q97" s="154">
        <f t="shared" si="74"/>
        <v>0.73872854002128441</v>
      </c>
      <c r="R97" s="154">
        <f t="shared" si="75"/>
        <v>0.70648437232869998</v>
      </c>
      <c r="S97" s="51"/>
      <c r="T97" s="138">
        <f t="shared" si="60"/>
        <v>6.7969588236102014E-3</v>
      </c>
      <c r="U97" s="135">
        <f t="shared" si="76"/>
        <v>6.7969588236102014E-3</v>
      </c>
      <c r="W97" s="63">
        <f t="shared" si="51"/>
        <v>0</v>
      </c>
      <c r="X97" s="63">
        <f t="shared" si="77"/>
        <v>279569.60275299812</v>
      </c>
      <c r="Y97" s="63">
        <f t="shared" si="78"/>
        <v>-54675.000000000007</v>
      </c>
      <c r="Z97" s="63">
        <v>0</v>
      </c>
      <c r="AA97" s="63">
        <f t="shared" ca="1" si="61"/>
        <v>0</v>
      </c>
      <c r="AB97" s="64">
        <f t="shared" ca="1" si="62"/>
        <v>224894.60275299812</v>
      </c>
      <c r="AC97" s="51"/>
      <c r="AD97" s="51">
        <f t="shared" si="52"/>
        <v>0</v>
      </c>
      <c r="AE97" s="64">
        <f t="shared" si="63"/>
        <v>267366.89409271383</v>
      </c>
      <c r="AF97" s="64">
        <f t="shared" si="64"/>
        <v>-52288.534914271411</v>
      </c>
      <c r="AG97" s="51">
        <f t="shared" si="53"/>
        <v>0</v>
      </c>
      <c r="AH97" s="64">
        <f t="shared" ca="1" si="65"/>
        <v>0</v>
      </c>
      <c r="AI97" s="64">
        <f t="shared" ca="1" si="66"/>
        <v>215078.35917844242</v>
      </c>
      <c r="AJ97" s="57"/>
      <c r="AK97" s="51">
        <f ca="1">SUM(AD97:AD$97,AG97:AG$97)/D97+SUM(AE98:AF$98,AH$97:AH98)/D97</f>
        <v>0</v>
      </c>
      <c r="AL97" s="51">
        <f>SUM(AE98:$AF$98)*$G$14/D97</f>
        <v>0</v>
      </c>
      <c r="AM97" s="51"/>
      <c r="AN97" s="51">
        <f ca="1">-SUM(AD97:$AD$98,AH97:$AH$98)/D97</f>
        <v>0</v>
      </c>
      <c r="AO97" s="51">
        <f ca="1">-SUM(W97:$W$98,AA97:$AA$98)</f>
        <v>0</v>
      </c>
      <c r="AQ97" s="9">
        <f t="shared" ca="1" si="54"/>
        <v>0</v>
      </c>
      <c r="AR97" s="9">
        <f t="shared" si="55"/>
        <v>0</v>
      </c>
      <c r="AS97" s="9">
        <f t="shared" ca="1" si="56"/>
        <v>0</v>
      </c>
    </row>
    <row r="98" spans="1:48" outlineLevel="1" x14ac:dyDescent="0.55000000000000004">
      <c r="B98" s="8"/>
      <c r="C98" s="6"/>
      <c r="D98" s="7"/>
      <c r="E98" s="2"/>
      <c r="F98" s="112"/>
      <c r="G98" s="85"/>
      <c r="H98" s="79"/>
      <c r="I98" s="2"/>
      <c r="J98" s="6"/>
      <c r="K98" s="6"/>
      <c r="L98" s="71"/>
      <c r="M98" s="90"/>
      <c r="N98" s="2"/>
      <c r="O98" s="12"/>
      <c r="P98" s="12"/>
      <c r="Q98" s="50"/>
      <c r="R98" s="90"/>
      <c r="S98" s="55"/>
      <c r="T98" s="136"/>
      <c r="U98" s="136"/>
      <c r="W98" s="66"/>
      <c r="X98" s="66"/>
      <c r="Y98" s="66"/>
      <c r="Z98" s="66"/>
      <c r="AA98" s="66"/>
      <c r="AB98" s="66"/>
      <c r="AC98" s="55"/>
      <c r="AD98" s="67"/>
      <c r="AE98" s="68"/>
      <c r="AF98" s="68"/>
      <c r="AG98" s="67"/>
      <c r="AH98" s="67"/>
      <c r="AI98" s="68"/>
      <c r="AJ98" s="57"/>
      <c r="AK98" s="67"/>
      <c r="AL98" s="67"/>
      <c r="AM98" s="51"/>
      <c r="AN98" s="121"/>
      <c r="AO98" s="121"/>
      <c r="AQ98" s="67"/>
      <c r="AR98" s="67"/>
      <c r="AS98" s="67"/>
    </row>
    <row r="99" spans="1:48" outlineLevel="1" x14ac:dyDescent="0.55000000000000004">
      <c r="A99" s="9"/>
      <c r="B99" s="4"/>
      <c r="C99" s="4"/>
      <c r="D99" s="4"/>
      <c r="E99" s="4"/>
      <c r="F99" s="3"/>
      <c r="G99" s="3"/>
      <c r="H99" s="4"/>
      <c r="I99" s="4"/>
      <c r="J99" s="4"/>
      <c r="K99" s="4"/>
      <c r="L99" s="51"/>
      <c r="M99" s="51"/>
      <c r="N99" s="4"/>
      <c r="O99" s="4"/>
      <c r="P99" s="4"/>
      <c r="Q99" s="51"/>
      <c r="R99" s="51"/>
      <c r="S99" s="51"/>
      <c r="T99" s="4"/>
      <c r="U99" s="4"/>
      <c r="W99" s="51"/>
      <c r="X99" s="51"/>
      <c r="Y99" s="51"/>
      <c r="Z99" s="51"/>
      <c r="AA99" s="51"/>
      <c r="AB99" s="51"/>
      <c r="AC99" s="51"/>
      <c r="AD99" s="51"/>
      <c r="AE99" s="51"/>
      <c r="AF99" s="51"/>
      <c r="AG99" s="51"/>
      <c r="AH99" s="51"/>
      <c r="AI99" s="51"/>
      <c r="AJ99" s="57"/>
      <c r="AK99" s="51"/>
      <c r="AL99" s="51"/>
      <c r="AM99" s="51"/>
      <c r="AN99" s="70"/>
      <c r="AO99" s="70"/>
      <c r="AQ99" s="51"/>
      <c r="AR99" s="51"/>
      <c r="AS99" s="51"/>
    </row>
    <row r="100" spans="1:48" outlineLevel="1" x14ac:dyDescent="0.55000000000000004">
      <c r="A100" s="9"/>
      <c r="B100" s="24"/>
      <c r="C100" s="24"/>
      <c r="D100" s="25"/>
      <c r="E100" s="4"/>
      <c r="F100" s="26"/>
      <c r="G100" s="26"/>
      <c r="H100" s="26"/>
      <c r="I100" s="4"/>
      <c r="J100" s="80">
        <f>SUM(J86:J97)</f>
        <v>12</v>
      </c>
      <c r="K100" s="95">
        <f>SUM(K86:K97)</f>
        <v>1</v>
      </c>
      <c r="L100" s="81">
        <f>SUM(L86:L97)</f>
        <v>9.7701534146510696</v>
      </c>
      <c r="M100" s="81">
        <f>SUM(M86:M97)</f>
        <v>9.5112800736761045</v>
      </c>
      <c r="N100" s="4"/>
      <c r="O100" s="80">
        <f>SUM(O86:O97)</f>
        <v>12</v>
      </c>
      <c r="P100" s="95">
        <f>SUM(P86:P97)</f>
        <v>1</v>
      </c>
      <c r="Q100" s="81">
        <f>SUM(Q86:Q97)</f>
        <v>9.7701534146510696</v>
      </c>
      <c r="R100" s="81">
        <f>SUM(R86:R97)</f>
        <v>9.5112800736761045</v>
      </c>
      <c r="S100" s="52"/>
      <c r="T100" s="80">
        <f>SUM(T86:T97)</f>
        <v>1</v>
      </c>
      <c r="U100" s="95">
        <f>SUM(U86:U97)</f>
        <v>1</v>
      </c>
      <c r="W100" s="52">
        <f t="shared" ref="W100:AB100" si="79">SUM(W85:W97)</f>
        <v>-7830000</v>
      </c>
      <c r="X100" s="52">
        <f t="shared" si="79"/>
        <v>4037470.8119808179</v>
      </c>
      <c r="Y100" s="52">
        <f t="shared" si="79"/>
        <v>-908531.53800225561</v>
      </c>
      <c r="Z100" s="52">
        <f t="shared" si="79"/>
        <v>-900000</v>
      </c>
      <c r="AA100" s="52">
        <f t="shared" ca="1" si="79"/>
        <v>368629.32770051813</v>
      </c>
      <c r="AB100" s="52">
        <f t="shared" ca="1" si="79"/>
        <v>-5232431.3983209189</v>
      </c>
      <c r="AC100" s="51"/>
      <c r="AD100" s="52">
        <f t="shared" ref="AD100:AI100" si="80">SUM(AD85:AD97)</f>
        <v>-7700115.4104001038</v>
      </c>
      <c r="AE100" s="52">
        <f t="shared" si="80"/>
        <v>3933567.2688338435</v>
      </c>
      <c r="AF100" s="52">
        <f t="shared" si="80"/>
        <v>-886261.19946756028</v>
      </c>
      <c r="AG100" s="52">
        <f t="shared" si="80"/>
        <v>-900000</v>
      </c>
      <c r="AH100" s="52">
        <f t="shared" ca="1" si="80"/>
        <v>362716.03121306351</v>
      </c>
      <c r="AI100" s="52">
        <f t="shared" ca="1" si="80"/>
        <v>-5190093.3098207572</v>
      </c>
      <c r="AJ100" s="52"/>
      <c r="AK100" s="52"/>
      <c r="AL100" s="52"/>
      <c r="AM100" s="51"/>
      <c r="AN100" s="70"/>
      <c r="AO100" s="70"/>
      <c r="AQ100" s="52"/>
      <c r="AR100" s="52"/>
      <c r="AS100" s="52"/>
    </row>
    <row r="101" spans="1:48" ht="15.3" x14ac:dyDescent="0.55000000000000004">
      <c r="A101" s="9"/>
      <c r="B101" s="24"/>
      <c r="C101" s="24"/>
      <c r="D101" s="4"/>
      <c r="E101" s="4"/>
      <c r="F101" s="4"/>
      <c r="G101" s="4"/>
      <c r="H101" s="4"/>
      <c r="I101" s="4"/>
      <c r="J101" s="24"/>
      <c r="K101" s="24"/>
      <c r="L101" s="52"/>
      <c r="M101" s="52"/>
      <c r="N101" s="4"/>
      <c r="O101" s="24"/>
      <c r="P101" s="24"/>
      <c r="Q101" s="52"/>
      <c r="R101" s="52"/>
      <c r="S101" s="51"/>
      <c r="T101" s="52"/>
      <c r="U101" s="72"/>
      <c r="V101" s="72"/>
      <c r="W101" s="52"/>
      <c r="X101" s="52"/>
      <c r="Y101" s="52"/>
      <c r="Z101" s="51"/>
      <c r="AA101" s="52"/>
      <c r="AB101" s="73"/>
      <c r="AC101" s="73"/>
      <c r="AD101" s="52"/>
      <c r="AE101" s="52"/>
      <c r="AF101" s="52"/>
      <c r="AG101" s="57"/>
      <c r="AH101" s="52"/>
      <c r="AI101" s="52"/>
      <c r="AJ101" s="51"/>
      <c r="AK101" s="51"/>
      <c r="AL101" s="51"/>
    </row>
    <row r="102" spans="1:48" ht="15.3" x14ac:dyDescent="0.55000000000000004">
      <c r="A102" s="9"/>
      <c r="B102" s="24"/>
      <c r="C102" s="24"/>
      <c r="D102" s="4"/>
      <c r="E102" s="4"/>
      <c r="F102" s="4"/>
      <c r="G102" s="4"/>
      <c r="H102" s="4"/>
      <c r="I102" s="4"/>
      <c r="J102" s="24"/>
      <c r="K102" s="24"/>
      <c r="L102" s="52"/>
      <c r="M102" s="52"/>
      <c r="N102" s="4"/>
      <c r="O102" s="24"/>
      <c r="P102" s="24"/>
      <c r="Q102" s="52"/>
      <c r="R102" s="52"/>
      <c r="S102" s="51"/>
      <c r="T102" s="52"/>
      <c r="U102" s="72"/>
      <c r="V102" s="72"/>
      <c r="W102" s="52"/>
      <c r="X102" s="52"/>
      <c r="Y102" s="52"/>
      <c r="Z102" s="51"/>
      <c r="AA102" s="52"/>
      <c r="AB102" s="73"/>
      <c r="AC102" s="73"/>
      <c r="AD102" s="52"/>
      <c r="AE102" s="52"/>
      <c r="AF102" s="52"/>
      <c r="AG102" s="57"/>
      <c r="AH102" s="52"/>
      <c r="AI102" s="52"/>
      <c r="AJ102" s="51"/>
      <c r="AK102" s="51"/>
      <c r="AL102" s="51"/>
    </row>
    <row r="103" spans="1:48" ht="18.3" x14ac:dyDescent="0.55000000000000004">
      <c r="A103" s="2"/>
      <c r="B103" s="143" t="s">
        <v>167</v>
      </c>
      <c r="C103" s="107"/>
      <c r="D103" s="108"/>
      <c r="H103" s="105"/>
      <c r="J103" s="2"/>
      <c r="K103" s="2"/>
      <c r="N103" s="2"/>
      <c r="O103" s="2"/>
      <c r="P103" s="2"/>
      <c r="Q103" s="2"/>
      <c r="S103" s="2"/>
      <c r="T103" s="2"/>
      <c r="U103" s="2"/>
      <c r="V103" s="2"/>
      <c r="W103" s="2"/>
      <c r="X103" s="2"/>
      <c r="Y103" s="2"/>
      <c r="Z103" s="2"/>
      <c r="AA103" s="22"/>
      <c r="AB103" s="2"/>
      <c r="AC103" s="2"/>
      <c r="AD103" s="2"/>
      <c r="AE103" s="2"/>
      <c r="AF103" s="2"/>
      <c r="AG103" s="21"/>
      <c r="AH103" s="2"/>
      <c r="AI103" s="2"/>
      <c r="AJ103" s="2"/>
      <c r="AK103" s="2"/>
      <c r="AL103" s="2"/>
    </row>
    <row r="104" spans="1:48" s="2" customFormat="1" outlineLevel="1" x14ac:dyDescent="0.55000000000000004">
      <c r="A104"/>
      <c r="B104"/>
      <c r="C104"/>
      <c r="AL104" s="70"/>
      <c r="AM104" s="70"/>
      <c r="AN104" s="70"/>
    </row>
    <row r="105" spans="1:48" s="2" customFormat="1" ht="19.899999999999999" customHeight="1" outlineLevel="1" x14ac:dyDescent="0.55000000000000004">
      <c r="A105"/>
      <c r="B105" s="185" t="s">
        <v>150</v>
      </c>
      <c r="C105" s="185"/>
      <c r="D105" s="13"/>
      <c r="E105" s="186" t="s">
        <v>140</v>
      </c>
      <c r="F105" s="186"/>
      <c r="G105" s="186"/>
      <c r="H105" s="186"/>
      <c r="I105" s="186"/>
      <c r="J105" s="186"/>
      <c r="K105" s="186"/>
      <c r="L105" s="186"/>
      <c r="M105" s="186"/>
      <c r="O105" s="186" t="s">
        <v>326</v>
      </c>
      <c r="P105" s="186"/>
      <c r="Q105" s="186"/>
      <c r="R105" s="186"/>
      <c r="S105" s="186"/>
      <c r="T105" s="186"/>
      <c r="U105" s="186"/>
      <c r="W105" s="186" t="s">
        <v>141</v>
      </c>
      <c r="X105" s="186"/>
      <c r="Y105" s="186"/>
      <c r="Z105" s="186"/>
      <c r="AA105" s="186"/>
      <c r="AB105" s="186"/>
      <c r="AC105" s="186"/>
      <c r="AD105" s="109"/>
      <c r="AE105" s="182"/>
      <c r="AF105" s="182"/>
      <c r="AG105" s="182"/>
      <c r="AH105" s="182"/>
      <c r="AI105" s="182"/>
      <c r="AJ105" s="182"/>
      <c r="AK105" s="182"/>
      <c r="AM105" s="70"/>
      <c r="AN105" s="70"/>
      <c r="AO105" s="70"/>
    </row>
    <row r="106" spans="1:48" s="2" customFormat="1" ht="30.6" customHeight="1" outlineLevel="1" x14ac:dyDescent="0.55000000000000004">
      <c r="A106"/>
      <c r="B106" s="145" t="s">
        <v>145</v>
      </c>
      <c r="C106" s="145" t="s">
        <v>10</v>
      </c>
      <c r="D106" s="13"/>
      <c r="E106" s="76" t="s">
        <v>11</v>
      </c>
      <c r="F106" s="76" t="s">
        <v>338</v>
      </c>
      <c r="G106" s="76" t="s">
        <v>339</v>
      </c>
      <c r="H106" s="76" t="s">
        <v>13</v>
      </c>
      <c r="I106" s="76" t="s">
        <v>340</v>
      </c>
      <c r="J106" s="76" t="s">
        <v>119</v>
      </c>
      <c r="K106" s="76" t="s">
        <v>341</v>
      </c>
      <c r="L106" s="76" t="s">
        <v>342</v>
      </c>
      <c r="M106" s="76" t="s">
        <v>14</v>
      </c>
      <c r="O106" s="76" t="s">
        <v>11</v>
      </c>
      <c r="P106" s="76" t="s">
        <v>338</v>
      </c>
      <c r="Q106" s="76" t="s">
        <v>13</v>
      </c>
      <c r="R106" s="76" t="s">
        <v>133</v>
      </c>
      <c r="S106" s="76" t="s">
        <v>341</v>
      </c>
      <c r="T106" s="76" t="s">
        <v>342</v>
      </c>
      <c r="U106" s="76" t="s">
        <v>14</v>
      </c>
      <c r="W106" s="76" t="s">
        <v>11</v>
      </c>
      <c r="X106" s="76" t="s">
        <v>338</v>
      </c>
      <c r="Y106" s="76" t="s">
        <v>13</v>
      </c>
      <c r="Z106" s="171" t="s">
        <v>386</v>
      </c>
      <c r="AA106" s="76" t="s">
        <v>341</v>
      </c>
      <c r="AB106" s="76" t="s">
        <v>133</v>
      </c>
      <c r="AC106" s="76" t="s">
        <v>14</v>
      </c>
      <c r="AD106" s="148"/>
      <c r="AE106" s="161"/>
      <c r="AF106" s="161"/>
      <c r="AG106" s="161"/>
      <c r="AH106" s="161"/>
      <c r="AI106" s="161"/>
      <c r="AJ106" s="161"/>
      <c r="AK106" s="161"/>
      <c r="AM106" s="70"/>
      <c r="AN106" s="70"/>
      <c r="AO106" s="70"/>
    </row>
    <row r="107" spans="1:48" s="2" customFormat="1" outlineLevel="1" x14ac:dyDescent="0.55000000000000004">
      <c r="A107" s="19"/>
      <c r="B107" s="15" t="s">
        <v>269</v>
      </c>
      <c r="C107" s="15" t="s">
        <v>270</v>
      </c>
      <c r="D107" s="13"/>
      <c r="E107" s="16" t="s">
        <v>271</v>
      </c>
      <c r="F107" s="16" t="s">
        <v>272</v>
      </c>
      <c r="G107" s="16" t="s">
        <v>273</v>
      </c>
      <c r="H107" s="16" t="s">
        <v>274</v>
      </c>
      <c r="I107" s="16" t="s">
        <v>275</v>
      </c>
      <c r="J107" s="16" t="s">
        <v>276</v>
      </c>
      <c r="K107" s="16" t="s">
        <v>277</v>
      </c>
      <c r="L107" s="16" t="s">
        <v>278</v>
      </c>
      <c r="M107" s="16" t="s">
        <v>279</v>
      </c>
      <c r="O107" s="16" t="s">
        <v>280</v>
      </c>
      <c r="P107" s="16" t="s">
        <v>281</v>
      </c>
      <c r="Q107" s="16" t="s">
        <v>282</v>
      </c>
      <c r="R107" s="16" t="s">
        <v>283</v>
      </c>
      <c r="S107" s="16" t="s">
        <v>284</v>
      </c>
      <c r="T107" s="16" t="s">
        <v>285</v>
      </c>
      <c r="U107" s="16" t="s">
        <v>286</v>
      </c>
      <c r="W107" s="16" t="s">
        <v>287</v>
      </c>
      <c r="X107" s="16" t="s">
        <v>288</v>
      </c>
      <c r="Y107" s="16" t="s">
        <v>289</v>
      </c>
      <c r="Z107" s="16" t="s">
        <v>290</v>
      </c>
      <c r="AA107" s="16" t="s">
        <v>291</v>
      </c>
      <c r="AB107" s="16" t="s">
        <v>292</v>
      </c>
      <c r="AC107" s="16" t="s">
        <v>385</v>
      </c>
      <c r="AE107" s="149"/>
      <c r="AF107" s="149"/>
      <c r="AG107" s="149"/>
      <c r="AH107" s="149"/>
      <c r="AI107" s="149"/>
      <c r="AJ107" s="149"/>
      <c r="AK107" s="149"/>
      <c r="AM107" s="70"/>
      <c r="AN107" s="70"/>
      <c r="AO107" s="70"/>
    </row>
    <row r="108" spans="1:48" s="2" customFormat="1" outlineLevel="1" x14ac:dyDescent="0.55000000000000004">
      <c r="A108"/>
      <c r="B108" s="1"/>
      <c r="C108" s="3">
        <v>0</v>
      </c>
      <c r="D108" s="13"/>
      <c r="E108" s="63"/>
      <c r="F108" s="63"/>
      <c r="G108" s="63"/>
      <c r="H108" s="63"/>
      <c r="I108" s="63"/>
      <c r="K108" s="63"/>
      <c r="L108" s="63"/>
      <c r="M108" s="63"/>
      <c r="O108" s="63"/>
      <c r="P108" s="63"/>
      <c r="Q108" s="4"/>
      <c r="R108" s="4"/>
      <c r="S108" s="4"/>
      <c r="T108" s="63"/>
      <c r="U108" s="4"/>
      <c r="W108" s="63"/>
      <c r="X108" s="4"/>
      <c r="Y108" s="4"/>
      <c r="Z108" s="4"/>
      <c r="AA108" s="4"/>
      <c r="AB108" s="4"/>
      <c r="AC108" s="4"/>
      <c r="AD108" s="109"/>
      <c r="AE108" s="162"/>
      <c r="AF108" s="163"/>
      <c r="AG108" s="163"/>
      <c r="AH108" s="164"/>
      <c r="AI108" s="163"/>
      <c r="AJ108" s="163"/>
      <c r="AK108" s="163"/>
      <c r="AM108" s="70"/>
      <c r="AN108" s="70"/>
      <c r="AO108" s="70"/>
    </row>
    <row r="109" spans="1:48" s="2" customFormat="1" outlineLevel="1" x14ac:dyDescent="0.55000000000000004">
      <c r="A109" s="9"/>
      <c r="B109" s="1" t="s">
        <v>6</v>
      </c>
      <c r="C109" s="3">
        <v>1</v>
      </c>
      <c r="D109" s="13"/>
      <c r="E109" s="63">
        <f t="shared" ref="E109:E120" si="81">IF(C109=1,0,M108)</f>
        <v>0</v>
      </c>
      <c r="F109" s="63">
        <f t="shared" ref="F109:F120" ca="1" si="82">IF($C109=1,$AK$39,0)</f>
        <v>-5080009.5031540301</v>
      </c>
      <c r="G109" s="63">
        <f t="shared" ref="G109:G120" si="83">IF($C109&lt;=$F$8,-(W39+Z39),-(W85+Z85))</f>
        <v>3900000</v>
      </c>
      <c r="H109" s="63">
        <f t="shared" ref="H109:H120" ca="1" si="84">SUM(E109:G109)*((1+IF($C109&lt;=$F$8,$F$17,$G$17))^(1/4)-1)</f>
        <v>-5856.3064198836901</v>
      </c>
      <c r="I109" s="63">
        <f t="shared" ref="I109:I120" si="85">IF($C109&lt;=$F$8,-(X40+Y40),-(X86+Y86))</f>
        <v>-49268.890094858238</v>
      </c>
      <c r="J109" s="63">
        <f t="shared" ref="J109:J120" ca="1" si="86">IF($C109&lt;=$F$8,-(AA40),-(AA86))</f>
        <v>-122081.37974285436</v>
      </c>
      <c r="K109" s="63">
        <f t="shared" ref="K109:K120" si="87">IF($C109=$F$8,AQ63,0)</f>
        <v>0</v>
      </c>
      <c r="L109" s="63">
        <f t="shared" ref="L109:L120" si="88">IF($C109=$F$8,AQ86,0)</f>
        <v>0</v>
      </c>
      <c r="M109" s="63">
        <f t="shared" ref="M109:M120" ca="1" si="89">SUM(E109:L109)</f>
        <v>-1357216.0794116261</v>
      </c>
      <c r="N109" s="123"/>
      <c r="O109" s="63">
        <f t="shared" ref="O109:O120" si="90">IF(C109=1,0,U108)</f>
        <v>0</v>
      </c>
      <c r="P109" s="63">
        <f t="shared" ref="P109:P120" si="91">IF($C109=1,$AL$39,0)</f>
        <v>127316.57355093501</v>
      </c>
      <c r="Q109" s="4">
        <f t="shared" ref="Q109:Q120" si="92">SUM(O109:P109)*((1+IF($C109&lt;=$F$8,$F$17,$G$17))^(1/4)-1)</f>
        <v>631.86344266806191</v>
      </c>
      <c r="R109" s="4">
        <f>U109-SUM(S109:T109,O109:Q109)</f>
        <v>-2463.4445047429035</v>
      </c>
      <c r="S109" s="4">
        <f t="shared" ref="S109:S120" si="93">IF($C109=$F$8,AR63,0)</f>
        <v>0</v>
      </c>
      <c r="T109" s="63">
        <f t="shared" ref="T109:T120" si="94">IF($C109=$F$8,AR86,0)</f>
        <v>0</v>
      </c>
      <c r="U109" s="4">
        <f t="shared" ref="U109:U120" si="95">IF(C109&lt;$F$8,AL40,AL86)</f>
        <v>125484.99248886017</v>
      </c>
      <c r="V109" s="123"/>
      <c r="W109" s="63">
        <f t="shared" ref="W109:W120" si="96">IF(C109=1,0,AC108)</f>
        <v>0</v>
      </c>
      <c r="X109" s="4">
        <f ca="1">IF($C109=1,-F109-P109,0)</f>
        <v>4952692.9296030952</v>
      </c>
      <c r="Y109" s="4">
        <f ca="1">SUM(W109:X109)*((1+$F$17)^(1/4)-1)</f>
        <v>24579.876112710532</v>
      </c>
      <c r="Z109" s="4">
        <f>IF(AND(C109=$F$8,$F$29="yes"),-(W63-W40),0)</f>
        <v>0</v>
      </c>
      <c r="AA109" s="4">
        <f t="shared" ref="AA109:AA120" si="97">IF($C109=$F$8,-K109-S109,0)</f>
        <v>0</v>
      </c>
      <c r="AB109" s="4">
        <f ca="1">-SUM(W109:AA109)*IFERROR(IF(C109&lt;$F$8,IF($F$23="yes",M40/SUM(M40:$M$52),L40/SUM(L40:$L$52)),IF($F$23="yes",M63/SUM(M63:$M$75),L63/SUM(L63:$L$75))),0)</f>
        <v>-566739.08533683897</v>
      </c>
      <c r="AC109" s="4">
        <f t="shared" ref="AC109:AC120" ca="1" si="98">SUM(W109:AB109)</f>
        <v>4410533.720378967</v>
      </c>
      <c r="AD109" s="123"/>
      <c r="AE109" s="162"/>
      <c r="AF109" s="163"/>
      <c r="AG109" s="162"/>
      <c r="AH109" s="163"/>
      <c r="AI109" s="163"/>
      <c r="AJ109" s="163"/>
      <c r="AK109" s="163"/>
      <c r="AL109" s="123"/>
      <c r="AM109" s="70"/>
      <c r="AN109" s="70"/>
      <c r="AO109" s="70"/>
      <c r="AQ109" s="124"/>
      <c r="AR109" s="4"/>
      <c r="AT109" s="125"/>
      <c r="AV109" s="4"/>
    </row>
    <row r="110" spans="1:48" s="2" customFormat="1" outlineLevel="1" x14ac:dyDescent="0.55000000000000004">
      <c r="A110" s="9"/>
      <c r="B110" s="1" t="s">
        <v>7</v>
      </c>
      <c r="C110" s="3">
        <v>2</v>
      </c>
      <c r="D110" s="13"/>
      <c r="E110" s="63">
        <f t="shared" ca="1" si="81"/>
        <v>-1357216.0794116261</v>
      </c>
      <c r="F110" s="63">
        <f t="shared" si="82"/>
        <v>0</v>
      </c>
      <c r="G110" s="63">
        <f t="shared" si="83"/>
        <v>0</v>
      </c>
      <c r="H110" s="63">
        <f t="shared" ca="1" si="84"/>
        <v>-6735.770532171864</v>
      </c>
      <c r="I110" s="63">
        <f t="shared" si="85"/>
        <v>-93500.502150432512</v>
      </c>
      <c r="J110" s="63">
        <f t="shared" ca="1" si="86"/>
        <v>-76971.627004889961</v>
      </c>
      <c r="K110" s="63">
        <f t="shared" si="87"/>
        <v>0</v>
      </c>
      <c r="L110" s="63">
        <f t="shared" si="88"/>
        <v>0</v>
      </c>
      <c r="M110" s="63">
        <f t="shared" ca="1" si="89"/>
        <v>-1534423.9790991205</v>
      </c>
      <c r="N110" s="123"/>
      <c r="O110" s="63">
        <f t="shared" si="90"/>
        <v>125484.99248886017</v>
      </c>
      <c r="P110" s="63">
        <f t="shared" si="91"/>
        <v>0</v>
      </c>
      <c r="Q110" s="4">
        <f t="shared" si="92"/>
        <v>622.77343118620854</v>
      </c>
      <c r="R110" s="4">
        <f t="shared" ref="R110:R120" si="99">U110-SUM(S110:T110,O110:Q110)</f>
        <v>-4675.0251075216365</v>
      </c>
      <c r="S110" s="4">
        <f t="shared" si="93"/>
        <v>0</v>
      </c>
      <c r="T110" s="63">
        <f t="shared" si="94"/>
        <v>0</v>
      </c>
      <c r="U110" s="4">
        <f t="shared" si="95"/>
        <v>121432.74081252475</v>
      </c>
      <c r="V110" s="123"/>
      <c r="W110" s="63">
        <f t="shared" ca="1" si="96"/>
        <v>4410533.720378967</v>
      </c>
      <c r="X110" s="4">
        <f t="shared" ref="X110:X120" si="100">IF($C110=1,-F110-P110,0)</f>
        <v>0</v>
      </c>
      <c r="Y110" s="4">
        <f t="shared" ref="Y110:Y120" ca="1" si="101">SUM(W110:X110)*((1+$F$17)^(1/4)-1)</f>
        <v>21889.177055548891</v>
      </c>
      <c r="Z110" s="4">
        <f t="shared" ref="Z110:Z120" si="102">IF(AND(C110=$F$8,$F$29="yes"),-(W64-W41),0)</f>
        <v>0</v>
      </c>
      <c r="AA110" s="4">
        <f t="shared" si="97"/>
        <v>0</v>
      </c>
      <c r="AB110" s="4">
        <f ca="1">-SUM(W110:AA110)*IFERROR(IF(C110&lt;$F$8,IF($F$23="yes",M41/SUM(M41:$M$52),L41/SUM(L41:$L$52)),IF($F$23="yes",M64/SUM(M64:$M$75),L64/SUM(L64:$L$75))),0)</f>
        <v>-535988.73445145041</v>
      </c>
      <c r="AC110" s="4">
        <f t="shared" ca="1" si="98"/>
        <v>3896434.1629830655</v>
      </c>
      <c r="AD110" s="123"/>
      <c r="AE110" s="162"/>
      <c r="AF110" s="163"/>
      <c r="AG110" s="162"/>
      <c r="AH110" s="163"/>
      <c r="AI110" s="163"/>
      <c r="AJ110" s="163"/>
      <c r="AK110" s="163"/>
      <c r="AL110" s="123"/>
      <c r="AM110" s="70"/>
      <c r="AN110" s="70"/>
      <c r="AO110" s="70"/>
      <c r="AP110" s="22"/>
      <c r="AQ110" s="124"/>
      <c r="AR110" s="45"/>
      <c r="AT110" s="125"/>
      <c r="AV110" s="4"/>
    </row>
    <row r="111" spans="1:48" s="2" customFormat="1" outlineLevel="1" x14ac:dyDescent="0.55000000000000004">
      <c r="A111" s="9"/>
      <c r="B111" s="1" t="s">
        <v>8</v>
      </c>
      <c r="C111" s="3">
        <v>3</v>
      </c>
      <c r="D111" s="13"/>
      <c r="E111" s="63">
        <f t="shared" ca="1" si="81"/>
        <v>-1534423.9790991205</v>
      </c>
      <c r="F111" s="63">
        <f t="shared" si="82"/>
        <v>0</v>
      </c>
      <c r="G111" s="63">
        <f t="shared" si="83"/>
        <v>0</v>
      </c>
      <c r="H111" s="63">
        <f t="shared" ca="1" si="84"/>
        <v>-7615.2412125520659</v>
      </c>
      <c r="I111" s="63">
        <f t="shared" si="85"/>
        <v>-133080.73370695903</v>
      </c>
      <c r="J111" s="63">
        <f t="shared" ca="1" si="86"/>
        <v>-36397.635185598439</v>
      </c>
      <c r="K111" s="63">
        <f t="shared" si="87"/>
        <v>0</v>
      </c>
      <c r="L111" s="63">
        <f t="shared" si="88"/>
        <v>0</v>
      </c>
      <c r="M111" s="63">
        <f t="shared" ca="1" si="89"/>
        <v>-1711517.5892042301</v>
      </c>
      <c r="N111" s="123"/>
      <c r="O111" s="63">
        <f t="shared" si="90"/>
        <v>121432.74081252475</v>
      </c>
      <c r="P111" s="63">
        <f t="shared" si="91"/>
        <v>0</v>
      </c>
      <c r="Q111" s="4">
        <f t="shared" si="92"/>
        <v>602.66238339915537</v>
      </c>
      <c r="R111" s="4">
        <f t="shared" si="99"/>
        <v>-6654.0366853479791</v>
      </c>
      <c r="S111" s="4">
        <f t="shared" si="93"/>
        <v>0</v>
      </c>
      <c r="T111" s="63">
        <f t="shared" si="94"/>
        <v>0</v>
      </c>
      <c r="U111" s="4">
        <f t="shared" si="95"/>
        <v>115381.36651057593</v>
      </c>
      <c r="V111" s="123"/>
      <c r="W111" s="63">
        <f t="shared" ca="1" si="96"/>
        <v>3896434.1629830655</v>
      </c>
      <c r="X111" s="4">
        <f t="shared" si="100"/>
        <v>0</v>
      </c>
      <c r="Y111" s="4">
        <f t="shared" ca="1" si="101"/>
        <v>19337.73613037866</v>
      </c>
      <c r="Z111" s="4">
        <f t="shared" si="102"/>
        <v>0</v>
      </c>
      <c r="AA111" s="4">
        <f t="shared" si="97"/>
        <v>0</v>
      </c>
      <c r="AB111" s="4">
        <f ca="1">-SUM(W111:AA111)*IFERROR(IF(C111&lt;$F$8,IF($F$23="yes",M42/SUM(M42:$M$52),L42/SUM(L42:$L$52)),IF($F$23="yes",M65/SUM(M65:$M$75),L65/SUM(L65:$L$75))),0)</f>
        <v>-506906.84812769067</v>
      </c>
      <c r="AC111" s="4">
        <f t="shared" ca="1" si="98"/>
        <v>3408865.0509857535</v>
      </c>
      <c r="AD111" s="123"/>
      <c r="AE111" s="162"/>
      <c r="AF111" s="163"/>
      <c r="AG111" s="162"/>
      <c r="AH111" s="163"/>
      <c r="AI111" s="163"/>
      <c r="AJ111" s="163"/>
      <c r="AK111" s="163"/>
      <c r="AL111" s="123"/>
      <c r="AM111" s="70"/>
      <c r="AN111" s="70"/>
      <c r="AO111" s="70"/>
      <c r="AP111" s="22"/>
      <c r="AQ111" s="124"/>
      <c r="AT111" s="125"/>
      <c r="AV111" s="4"/>
    </row>
    <row r="112" spans="1:48" s="2" customFormat="1" outlineLevel="1" x14ac:dyDescent="0.55000000000000004">
      <c r="A112" s="9"/>
      <c r="B112" s="1" t="s">
        <v>9</v>
      </c>
      <c r="C112" s="3">
        <v>4</v>
      </c>
      <c r="D112" s="13"/>
      <c r="E112" s="63">
        <f t="shared" ca="1" si="81"/>
        <v>-1711517.5892042301</v>
      </c>
      <c r="F112" s="63">
        <f t="shared" si="82"/>
        <v>0</v>
      </c>
      <c r="G112" s="63">
        <f t="shared" si="83"/>
        <v>0</v>
      </c>
      <c r="H112" s="63">
        <f t="shared" ca="1" si="84"/>
        <v>-8494.1446815553609</v>
      </c>
      <c r="I112" s="63">
        <f t="shared" si="85"/>
        <v>-168369.23076923078</v>
      </c>
      <c r="J112" s="63">
        <f t="shared" ca="1" si="86"/>
        <v>0</v>
      </c>
      <c r="K112" s="63">
        <f t="shared" si="87"/>
        <v>0</v>
      </c>
      <c r="L112" s="63">
        <f t="shared" si="88"/>
        <v>0</v>
      </c>
      <c r="M112" s="63">
        <f t="shared" ca="1" si="89"/>
        <v>-1888380.9646550163</v>
      </c>
      <c r="N112" s="123"/>
      <c r="O112" s="63">
        <f t="shared" si="90"/>
        <v>115381.36651057593</v>
      </c>
      <c r="P112" s="63">
        <f t="shared" si="91"/>
        <v>0</v>
      </c>
      <c r="Q112" s="4">
        <f t="shared" si="92"/>
        <v>572.62982681473932</v>
      </c>
      <c r="R112" s="4">
        <f t="shared" si="99"/>
        <v>-8418.4615384615317</v>
      </c>
      <c r="S112" s="4">
        <f t="shared" si="93"/>
        <v>0</v>
      </c>
      <c r="T112" s="63">
        <f t="shared" si="94"/>
        <v>0</v>
      </c>
      <c r="U112" s="4">
        <f t="shared" si="95"/>
        <v>107535.53479892913</v>
      </c>
      <c r="V112" s="123"/>
      <c r="W112" s="63">
        <f t="shared" ca="1" si="96"/>
        <v>3408865.0509857535</v>
      </c>
      <c r="X112" s="4">
        <f t="shared" si="100"/>
        <v>0</v>
      </c>
      <c r="Y112" s="4">
        <f t="shared" ca="1" si="101"/>
        <v>16917.963990328251</v>
      </c>
      <c r="Z112" s="4">
        <f t="shared" si="102"/>
        <v>0</v>
      </c>
      <c r="AA112" s="4">
        <f t="shared" si="97"/>
        <v>0</v>
      </c>
      <c r="AB112" s="4">
        <f ca="1">-SUM(W112:AA112)*IFERROR(IF(C112&lt;$F$8,IF($F$23="yes",M43/SUM(M43:$M$52),L43/SUM(L43:$L$52)),IF($F$23="yes",M66/SUM(M66:$M$75),L66/SUM(L66:$L$75))),0)</f>
        <v>-479402.89816301077</v>
      </c>
      <c r="AC112" s="4">
        <f t="shared" ca="1" si="98"/>
        <v>2946380.1168130711</v>
      </c>
      <c r="AD112" s="123"/>
      <c r="AE112" s="162"/>
      <c r="AF112" s="163"/>
      <c r="AG112" s="162"/>
      <c r="AH112" s="163"/>
      <c r="AI112" s="163"/>
      <c r="AJ112" s="163"/>
      <c r="AK112" s="163"/>
      <c r="AL112" s="123"/>
      <c r="AM112" s="70"/>
      <c r="AN112" s="70"/>
      <c r="AO112" s="70"/>
      <c r="AP112" s="22"/>
      <c r="AQ112" s="124"/>
      <c r="AT112" s="125"/>
      <c r="AV112" s="4"/>
    </row>
    <row r="113" spans="1:48" s="55" customFormat="1" outlineLevel="1" x14ac:dyDescent="0.55000000000000004">
      <c r="A113" s="89"/>
      <c r="B113" s="116" t="s">
        <v>15</v>
      </c>
      <c r="C113" s="117">
        <v>5</v>
      </c>
      <c r="D113" s="118"/>
      <c r="E113" s="63">
        <f t="shared" ca="1" si="81"/>
        <v>-1888380.9646550163</v>
      </c>
      <c r="F113" s="63">
        <f t="shared" si="82"/>
        <v>0</v>
      </c>
      <c r="G113" s="63">
        <f t="shared" si="83"/>
        <v>2400000</v>
      </c>
      <c r="H113" s="63">
        <f t="shared" ca="1" si="84"/>
        <v>2539.1302639657015</v>
      </c>
      <c r="I113" s="63">
        <f t="shared" si="85"/>
        <v>-199701.06017407562</v>
      </c>
      <c r="J113" s="63">
        <f t="shared" ca="1" si="86"/>
        <v>-78132.083035426811</v>
      </c>
      <c r="K113" s="63">
        <f t="shared" si="87"/>
        <v>0</v>
      </c>
      <c r="L113" s="63">
        <f t="shared" si="88"/>
        <v>0</v>
      </c>
      <c r="M113" s="63">
        <f t="shared" ca="1" si="89"/>
        <v>236325.02239944693</v>
      </c>
      <c r="N113" s="123"/>
      <c r="O113" s="63">
        <f t="shared" si="90"/>
        <v>107535.53479892913</v>
      </c>
      <c r="P113" s="63">
        <f t="shared" si="91"/>
        <v>0</v>
      </c>
      <c r="Q113" s="51">
        <f t="shared" si="92"/>
        <v>533.69150089496361</v>
      </c>
      <c r="R113" s="51">
        <f t="shared" si="99"/>
        <v>-9985.0530087037769</v>
      </c>
      <c r="S113" s="51">
        <f t="shared" si="93"/>
        <v>0</v>
      </c>
      <c r="T113" s="63">
        <f t="shared" si="94"/>
        <v>0</v>
      </c>
      <c r="U113" s="51">
        <f t="shared" si="95"/>
        <v>98084.173291120314</v>
      </c>
      <c r="V113" s="123"/>
      <c r="W113" s="63">
        <f t="shared" ca="1" si="96"/>
        <v>2946380.1168130711</v>
      </c>
      <c r="X113" s="4">
        <f t="shared" si="100"/>
        <v>0</v>
      </c>
      <c r="Y113" s="51">
        <f t="shared" ca="1" si="101"/>
        <v>14622.682908391555</v>
      </c>
      <c r="Z113" s="4">
        <f t="shared" si="102"/>
        <v>0</v>
      </c>
      <c r="AA113" s="4">
        <f t="shared" si="97"/>
        <v>0</v>
      </c>
      <c r="AB113" s="51">
        <f ca="1">-SUM(W113:AA113)*IFERROR(IF(C113&lt;$F$8,IF($F$23="yes",M44/SUM(M44:$M$52),L44/SUM(L44:$L$52)),IF($F$23="yes",M67/SUM(M67:$M$75),L67/SUM(L67:$L$75))),0)</f>
        <v>-453391.26826947136</v>
      </c>
      <c r="AC113" s="51">
        <f t="shared" ca="1" si="98"/>
        <v>2507611.5314519913</v>
      </c>
      <c r="AD113" s="123"/>
      <c r="AE113" s="162"/>
      <c r="AF113" s="165"/>
      <c r="AG113" s="162"/>
      <c r="AH113" s="163"/>
      <c r="AI113" s="165"/>
      <c r="AJ113" s="165"/>
      <c r="AK113" s="165"/>
      <c r="AL113" s="123"/>
      <c r="AM113" s="70"/>
      <c r="AN113" s="70"/>
      <c r="AO113" s="70"/>
      <c r="AP113" s="22"/>
      <c r="AQ113" s="124"/>
      <c r="AT113" s="125"/>
      <c r="AU113" s="2"/>
      <c r="AV113" s="4"/>
    </row>
    <row r="114" spans="1:48" s="2" customFormat="1" outlineLevel="1" x14ac:dyDescent="0.55000000000000004">
      <c r="A114" s="9"/>
      <c r="B114" s="1" t="s">
        <v>16</v>
      </c>
      <c r="C114" s="3">
        <v>6</v>
      </c>
      <c r="D114" s="13"/>
      <c r="E114" s="63">
        <f t="shared" ca="1" si="81"/>
        <v>236325.02239944693</v>
      </c>
      <c r="F114" s="63">
        <f t="shared" si="82"/>
        <v>0</v>
      </c>
      <c r="G114" s="63">
        <f t="shared" si="83"/>
        <v>0</v>
      </c>
      <c r="H114" s="63">
        <f t="shared" ca="1" si="84"/>
        <v>1172.8649152043156</v>
      </c>
      <c r="I114" s="63">
        <f t="shared" si="85"/>
        <v>-227388.2798020945</v>
      </c>
      <c r="J114" s="63">
        <f t="shared" ca="1" si="86"/>
        <v>-49261.841283129601</v>
      </c>
      <c r="K114" s="63">
        <f t="shared" si="87"/>
        <v>0</v>
      </c>
      <c r="L114" s="63">
        <f t="shared" si="88"/>
        <v>0</v>
      </c>
      <c r="M114" s="63">
        <f t="shared" ca="1" si="89"/>
        <v>-39152.233770572857</v>
      </c>
      <c r="N114" s="123"/>
      <c r="O114" s="63">
        <f t="shared" si="90"/>
        <v>98084.173291120314</v>
      </c>
      <c r="P114" s="63">
        <f t="shared" si="91"/>
        <v>0</v>
      </c>
      <c r="Q114" s="4">
        <f t="shared" si="92"/>
        <v>486.78504045809598</v>
      </c>
      <c r="R114" s="4">
        <f>U114-SUM(S114:T114,O114:Q114)</f>
        <v>-11369.413990104717</v>
      </c>
      <c r="S114" s="4">
        <f t="shared" si="93"/>
        <v>0</v>
      </c>
      <c r="T114" s="63">
        <f t="shared" si="94"/>
        <v>0</v>
      </c>
      <c r="U114" s="4">
        <f t="shared" si="95"/>
        <v>87201.544341473695</v>
      </c>
      <c r="V114" s="123"/>
      <c r="W114" s="63">
        <f t="shared" ca="1" si="96"/>
        <v>2507611.5314519913</v>
      </c>
      <c r="X114" s="4">
        <f t="shared" si="100"/>
        <v>0</v>
      </c>
      <c r="Y114" s="4">
        <f t="shared" ca="1" si="101"/>
        <v>12445.104442773076</v>
      </c>
      <c r="Z114" s="4">
        <f t="shared" si="102"/>
        <v>0</v>
      </c>
      <c r="AA114" s="4">
        <f t="shared" si="97"/>
        <v>0</v>
      </c>
      <c r="AB114" s="4">
        <f ca="1">-SUM(W114:AA114)*IFERROR(IF(C114&lt;$F$8,IF($F$23="yes",M45/SUM(M45:$M$52),L45/SUM(L45:$L$52)),IF($F$23="yes",M68/SUM(M68:$M$75),L68/SUM(L68:$L$75))),0)</f>
        <v>-428790.98756116035</v>
      </c>
      <c r="AC114" s="4">
        <f t="shared" ca="1" si="98"/>
        <v>2091265.648333604</v>
      </c>
      <c r="AD114" s="123"/>
      <c r="AE114" s="162"/>
      <c r="AF114" s="163"/>
      <c r="AG114" s="162"/>
      <c r="AH114" s="163"/>
      <c r="AI114" s="163"/>
      <c r="AJ114" s="163"/>
      <c r="AK114" s="163"/>
      <c r="AL114" s="123"/>
      <c r="AM114" s="70"/>
      <c r="AN114" s="70"/>
      <c r="AO114" s="70"/>
      <c r="AP114" s="22"/>
      <c r="AQ114" s="124"/>
      <c r="AT114" s="125"/>
      <c r="AV114" s="4"/>
    </row>
    <row r="115" spans="1:48" s="2" customFormat="1" outlineLevel="1" x14ac:dyDescent="0.55000000000000004">
      <c r="A115" s="9"/>
      <c r="B115" s="1" t="s">
        <v>17</v>
      </c>
      <c r="C115" s="3">
        <v>7</v>
      </c>
      <c r="D115" s="13"/>
      <c r="E115" s="63">
        <f t="shared" ca="1" si="81"/>
        <v>-39152.233770572857</v>
      </c>
      <c r="F115" s="63">
        <f t="shared" si="82"/>
        <v>0</v>
      </c>
      <c r="G115" s="63">
        <f t="shared" si="83"/>
        <v>0</v>
      </c>
      <c r="H115" s="63">
        <f t="shared" ca="1" si="84"/>
        <v>-194.30985714143293</v>
      </c>
      <c r="I115" s="63">
        <f t="shared" si="85"/>
        <v>-251721.41269260837</v>
      </c>
      <c r="J115" s="63">
        <f t="shared" ca="1" si="86"/>
        <v>-23294.486518782986</v>
      </c>
      <c r="K115" s="63">
        <f t="shared" ca="1" si="87"/>
        <v>-863951.21300730552</v>
      </c>
      <c r="L115" s="63">
        <f t="shared" ca="1" si="88"/>
        <v>3001.7923800176941</v>
      </c>
      <c r="M115" s="63">
        <f t="shared" ca="1" si="89"/>
        <v>-1175311.8634663934</v>
      </c>
      <c r="N115" s="123"/>
      <c r="O115" s="63">
        <f t="shared" si="90"/>
        <v>87201.544341473695</v>
      </c>
      <c r="P115" s="63">
        <f t="shared" si="91"/>
        <v>0</v>
      </c>
      <c r="Q115" s="4">
        <f t="shared" si="92"/>
        <v>432.77529764443284</v>
      </c>
      <c r="R115" s="4">
        <f t="shared" si="99"/>
        <v>-12586.070634630436</v>
      </c>
      <c r="S115" s="4">
        <f t="shared" si="93"/>
        <v>-40091.100025054591</v>
      </c>
      <c r="T115" s="63">
        <f t="shared" si="94"/>
        <v>254.31928091117879</v>
      </c>
      <c r="U115" s="4">
        <f t="shared" si="95"/>
        <v>35211.468260344278</v>
      </c>
      <c r="V115" s="123"/>
      <c r="W115" s="63">
        <f t="shared" ca="1" si="96"/>
        <v>2091265.648333604</v>
      </c>
      <c r="X115" s="4">
        <f t="shared" si="100"/>
        <v>0</v>
      </c>
      <c r="Y115" s="4">
        <f t="shared" ca="1" si="101"/>
        <v>10378.808314071402</v>
      </c>
      <c r="Z115" s="4">
        <f t="shared" si="102"/>
        <v>0</v>
      </c>
      <c r="AA115" s="4">
        <f t="shared" ca="1" si="97"/>
        <v>904042.31303236005</v>
      </c>
      <c r="AB115" s="4">
        <f ca="1">-SUM(W115:AA115)*IFERROR(IF(C115&lt;$F$8,IF($F$23="yes",M46/SUM(M46:$M$52),L46/SUM(L46:$L$52)),IF($F$23="yes",M69/SUM(M69:$M$75),L69/SUM(L69:$L$75))),0)</f>
        <v>-503999.22870408476</v>
      </c>
      <c r="AC115" s="4">
        <f t="shared" ca="1" si="98"/>
        <v>2501687.5409759507</v>
      </c>
      <c r="AD115" s="123"/>
      <c r="AE115" s="162"/>
      <c r="AF115" s="163"/>
      <c r="AG115" s="162"/>
      <c r="AH115" s="163"/>
      <c r="AI115" s="163"/>
      <c r="AJ115" s="163"/>
      <c r="AK115" s="163"/>
      <c r="AL115" s="123"/>
      <c r="AM115" s="70"/>
      <c r="AN115" s="70"/>
      <c r="AO115" s="70"/>
      <c r="AP115" s="22"/>
      <c r="AQ115" s="124"/>
      <c r="AT115" s="125"/>
      <c r="AV115" s="4"/>
    </row>
    <row r="116" spans="1:48" s="2" customFormat="1" outlineLevel="1" x14ac:dyDescent="0.55000000000000004">
      <c r="A116" s="9"/>
      <c r="B116" s="1" t="s">
        <v>18</v>
      </c>
      <c r="C116" s="3">
        <v>8</v>
      </c>
      <c r="D116" s="13"/>
      <c r="E116" s="63">
        <f t="shared" ca="1" si="81"/>
        <v>-1175311.8634663934</v>
      </c>
      <c r="F116" s="63">
        <f t="shared" si="82"/>
        <v>0</v>
      </c>
      <c r="G116" s="63">
        <f t="shared" si="83"/>
        <v>0</v>
      </c>
      <c r="H116" s="63">
        <f t="shared" ca="1" si="84"/>
        <v>-2927.3249462119552</v>
      </c>
      <c r="I116" s="63">
        <f t="shared" si="85"/>
        <v>-248337.45467440371</v>
      </c>
      <c r="J116" s="63">
        <f t="shared" ca="1" si="86"/>
        <v>0</v>
      </c>
      <c r="K116" s="63">
        <f t="shared" si="87"/>
        <v>0</v>
      </c>
      <c r="L116" s="63">
        <f t="shared" si="88"/>
        <v>0</v>
      </c>
      <c r="M116" s="63">
        <f t="shared" ca="1" si="89"/>
        <v>-1426576.643087009</v>
      </c>
      <c r="N116" s="123"/>
      <c r="O116" s="63">
        <f t="shared" si="90"/>
        <v>35211.468260344278</v>
      </c>
      <c r="P116" s="63">
        <f t="shared" si="91"/>
        <v>0</v>
      </c>
      <c r="Q116" s="4">
        <f t="shared" si="92"/>
        <v>87.700475622914183</v>
      </c>
      <c r="R116" s="4">
        <f t="shared" si="99"/>
        <v>-7450.1236402321083</v>
      </c>
      <c r="S116" s="4">
        <f t="shared" si="93"/>
        <v>0</v>
      </c>
      <c r="T116" s="63">
        <f t="shared" si="94"/>
        <v>0</v>
      </c>
      <c r="U116" s="4">
        <f t="shared" si="95"/>
        <v>27849.045095735084</v>
      </c>
      <c r="V116" s="123"/>
      <c r="W116" s="63">
        <f t="shared" ca="1" si="96"/>
        <v>2501687.5409759507</v>
      </c>
      <c r="X116" s="4">
        <f t="shared" si="100"/>
        <v>0</v>
      </c>
      <c r="Y116" s="4">
        <f t="shared" ca="1" si="101"/>
        <v>12415.704083400175</v>
      </c>
      <c r="Z116" s="4">
        <f t="shared" si="102"/>
        <v>0</v>
      </c>
      <c r="AA116" s="4">
        <f t="shared" si="97"/>
        <v>0</v>
      </c>
      <c r="AB116" s="4">
        <f ca="1">-SUM(W116:AA116)*IFERROR(IF(C116&lt;$F$8,IF($F$23="yes",M47/SUM(M47:$M$52),L47/SUM(L47:$L$52)),IF($F$23="yes",M70/SUM(M70:$M$75),L70/SUM(L70:$L$75))),0)</f>
        <v>-534769.71220410359</v>
      </c>
      <c r="AC116" s="4">
        <f t="shared" ca="1" si="98"/>
        <v>1979333.5328552474</v>
      </c>
      <c r="AD116" s="123"/>
      <c r="AE116" s="162"/>
      <c r="AF116" s="163"/>
      <c r="AG116" s="162"/>
      <c r="AH116" s="163"/>
      <c r="AI116" s="163"/>
      <c r="AJ116" s="163"/>
      <c r="AK116" s="163"/>
      <c r="AL116" s="123"/>
      <c r="AM116" s="70"/>
      <c r="AN116" s="70"/>
      <c r="AO116" s="70"/>
      <c r="AP116" s="22"/>
      <c r="AQ116" s="124"/>
      <c r="AT116" s="125"/>
      <c r="AV116" s="4"/>
    </row>
    <row r="117" spans="1:48" s="2" customFormat="1" outlineLevel="1" x14ac:dyDescent="0.55000000000000004">
      <c r="A117" s="9"/>
      <c r="B117" s="1" t="s">
        <v>19</v>
      </c>
      <c r="C117" s="3">
        <v>9</v>
      </c>
      <c r="D117" s="13"/>
      <c r="E117" s="63">
        <f t="shared" ca="1" si="81"/>
        <v>-1426576.643087009</v>
      </c>
      <c r="F117" s="63">
        <f t="shared" si="82"/>
        <v>0</v>
      </c>
      <c r="G117" s="63">
        <f t="shared" si="83"/>
        <v>2430000</v>
      </c>
      <c r="H117" s="63">
        <f t="shared" ca="1" si="84"/>
        <v>2499.2057985698452</v>
      </c>
      <c r="I117" s="63">
        <f t="shared" si="85"/>
        <v>-242257.22311363198</v>
      </c>
      <c r="J117" s="63">
        <f t="shared" ca="1" si="86"/>
        <v>-38376.319433316261</v>
      </c>
      <c r="K117" s="63">
        <f t="shared" si="87"/>
        <v>0</v>
      </c>
      <c r="L117" s="63">
        <f t="shared" si="88"/>
        <v>0</v>
      </c>
      <c r="M117" s="63">
        <f t="shared" ca="1" si="89"/>
        <v>725289.02016461268</v>
      </c>
      <c r="N117" s="123"/>
      <c r="O117" s="63">
        <f t="shared" si="90"/>
        <v>27849.045095735084</v>
      </c>
      <c r="P117" s="63">
        <f t="shared" si="91"/>
        <v>0</v>
      </c>
      <c r="Q117" s="4">
        <f t="shared" si="92"/>
        <v>69.36304054354342</v>
      </c>
      <c r="R117" s="4">
        <f t="shared" si="99"/>
        <v>-7267.7166934089619</v>
      </c>
      <c r="S117" s="4">
        <f t="shared" si="93"/>
        <v>0</v>
      </c>
      <c r="T117" s="63">
        <f t="shared" si="94"/>
        <v>0</v>
      </c>
      <c r="U117" s="4">
        <f t="shared" si="95"/>
        <v>20650.691442869665</v>
      </c>
      <c r="V117" s="123"/>
      <c r="W117" s="63">
        <f t="shared" ca="1" si="96"/>
        <v>1979333.5328552474</v>
      </c>
      <c r="X117" s="4">
        <f t="shared" si="100"/>
        <v>0</v>
      </c>
      <c r="Y117" s="4">
        <f t="shared" ca="1" si="101"/>
        <v>9823.2968841083712</v>
      </c>
      <c r="Z117" s="4">
        <f t="shared" si="102"/>
        <v>0</v>
      </c>
      <c r="AA117" s="4">
        <f t="shared" si="97"/>
        <v>0</v>
      </c>
      <c r="AB117" s="4">
        <f ca="1">-SUM(W117:AA117)*IFERROR(IF(C117&lt;$F$8,IF($F$23="yes",M48/SUM(M48:$M$52),L48/SUM(L48:$L$52)),IF($F$23="yes",M71/SUM(M71:$M$75),L71/SUM(L71:$L$75))),0)</f>
        <v>-520867.70316157478</v>
      </c>
      <c r="AC117" s="4">
        <f t="shared" ca="1" si="98"/>
        <v>1468289.126577781</v>
      </c>
      <c r="AD117" s="123"/>
      <c r="AE117" s="162"/>
      <c r="AF117" s="163"/>
      <c r="AG117" s="162"/>
      <c r="AH117" s="163"/>
      <c r="AI117" s="163"/>
      <c r="AJ117" s="163"/>
      <c r="AK117" s="163"/>
      <c r="AL117" s="123"/>
      <c r="AM117" s="70"/>
      <c r="AN117" s="70"/>
      <c r="AO117" s="70"/>
      <c r="AT117" s="125"/>
      <c r="AV117" s="4"/>
    </row>
    <row r="118" spans="1:48" s="2" customFormat="1" outlineLevel="1" x14ac:dyDescent="0.55000000000000004">
      <c r="A118" s="9"/>
      <c r="B118" s="1" t="s">
        <v>20</v>
      </c>
      <c r="C118" s="3">
        <v>10</v>
      </c>
      <c r="D118" s="13"/>
      <c r="E118" s="63">
        <f t="shared" ca="1" si="81"/>
        <v>725289.02016461268</v>
      </c>
      <c r="F118" s="63">
        <f t="shared" si="82"/>
        <v>0</v>
      </c>
      <c r="G118" s="63">
        <f t="shared" si="83"/>
        <v>0</v>
      </c>
      <c r="H118" s="63">
        <f t="shared" ca="1" si="84"/>
        <v>1806.4623594282348</v>
      </c>
      <c r="I118" s="63">
        <f t="shared" si="85"/>
        <v>-236325.74674681382</v>
      </c>
      <c r="J118" s="63">
        <f t="shared" ca="1" si="86"/>
        <v>-24919.119268042676</v>
      </c>
      <c r="K118" s="63">
        <f t="shared" si="87"/>
        <v>0</v>
      </c>
      <c r="L118" s="63">
        <f t="shared" si="88"/>
        <v>0</v>
      </c>
      <c r="M118" s="63">
        <f t="shared" ca="1" si="89"/>
        <v>465850.61650918447</v>
      </c>
      <c r="N118" s="123"/>
      <c r="O118" s="63">
        <f t="shared" si="90"/>
        <v>20650.691442869665</v>
      </c>
      <c r="P118" s="63">
        <f t="shared" si="91"/>
        <v>0</v>
      </c>
      <c r="Q118" s="4">
        <f t="shared" si="92"/>
        <v>51.434250003183642</v>
      </c>
      <c r="R118" s="4">
        <f t="shared" si="99"/>
        <v>-7089.7724024044128</v>
      </c>
      <c r="S118" s="4">
        <f t="shared" si="93"/>
        <v>0</v>
      </c>
      <c r="T118" s="63">
        <f t="shared" si="94"/>
        <v>0</v>
      </c>
      <c r="U118" s="4">
        <f t="shared" si="95"/>
        <v>13612.353290468438</v>
      </c>
      <c r="V118" s="123"/>
      <c r="W118" s="63">
        <f t="shared" ca="1" si="96"/>
        <v>1468289.126577781</v>
      </c>
      <c r="X118" s="4">
        <f t="shared" si="100"/>
        <v>0</v>
      </c>
      <c r="Y118" s="4">
        <f t="shared" ca="1" si="101"/>
        <v>7287.0184648847317</v>
      </c>
      <c r="Z118" s="4">
        <f t="shared" si="102"/>
        <v>0</v>
      </c>
      <c r="AA118" s="4">
        <f t="shared" si="97"/>
        <v>0</v>
      </c>
      <c r="AB118" s="4">
        <f ca="1">-SUM(W118:AA118)*IFERROR(IF(C118&lt;$F$8,IF($F$23="yes",M49/SUM(M49:$M$52),L49/SUM(L49:$L$52)),IF($F$23="yes",M72/SUM(M72:$M$75),L72/SUM(L72:$L$75))),0)</f>
        <v>-507327.09427131322</v>
      </c>
      <c r="AC118" s="4">
        <f t="shared" ca="1" si="98"/>
        <v>968249.0507713526</v>
      </c>
      <c r="AD118" s="123"/>
      <c r="AE118" s="162"/>
      <c r="AF118" s="163"/>
      <c r="AG118" s="162"/>
      <c r="AH118" s="163"/>
      <c r="AI118" s="163"/>
      <c r="AJ118" s="163"/>
      <c r="AK118" s="163"/>
      <c r="AL118" s="123"/>
      <c r="AM118" s="70"/>
      <c r="AN118" s="70"/>
      <c r="AO118" s="70"/>
      <c r="AT118" s="125"/>
      <c r="AV118" s="4"/>
    </row>
    <row r="119" spans="1:48" s="2" customFormat="1" outlineLevel="1" x14ac:dyDescent="0.55000000000000004">
      <c r="A119" s="9"/>
      <c r="B119" s="1" t="s">
        <v>21</v>
      </c>
      <c r="C119" s="3">
        <v>11</v>
      </c>
      <c r="D119" s="13"/>
      <c r="E119" s="63">
        <f t="shared" ca="1" si="81"/>
        <v>465850.61650918447</v>
      </c>
      <c r="F119" s="63">
        <f t="shared" si="82"/>
        <v>0</v>
      </c>
      <c r="G119" s="63">
        <f t="shared" si="83"/>
        <v>0</v>
      </c>
      <c r="H119" s="63">
        <f t="shared" ca="1" si="84"/>
        <v>1160.2844941031667</v>
      </c>
      <c r="I119" s="63">
        <f t="shared" si="85"/>
        <v>-230539.38915916521</v>
      </c>
      <c r="J119" s="63">
        <f t="shared" ca="1" si="86"/>
        <v>-12135.657762346174</v>
      </c>
      <c r="K119" s="63">
        <f t="shared" si="87"/>
        <v>0</v>
      </c>
      <c r="L119" s="63">
        <f t="shared" si="88"/>
        <v>0</v>
      </c>
      <c r="M119" s="63">
        <f t="shared" ca="1" si="89"/>
        <v>224335.85408177626</v>
      </c>
      <c r="N119" s="123"/>
      <c r="O119" s="63">
        <f t="shared" si="90"/>
        <v>13612.353290468438</v>
      </c>
      <c r="P119" s="63">
        <f t="shared" si="91"/>
        <v>0</v>
      </c>
      <c r="Q119" s="4">
        <f t="shared" si="92"/>
        <v>33.904006759800772</v>
      </c>
      <c r="R119" s="4">
        <f t="shared" si="99"/>
        <v>-6916.1816747749581</v>
      </c>
      <c r="S119" s="4">
        <f t="shared" si="93"/>
        <v>0</v>
      </c>
      <c r="T119" s="63">
        <f t="shared" si="94"/>
        <v>0</v>
      </c>
      <c r="U119" s="4">
        <f t="shared" si="95"/>
        <v>6730.0756224532815</v>
      </c>
      <c r="V119" s="123"/>
      <c r="W119" s="63">
        <f t="shared" ca="1" si="96"/>
        <v>968249.0507713526</v>
      </c>
      <c r="X119" s="4">
        <f t="shared" si="100"/>
        <v>0</v>
      </c>
      <c r="Y119" s="4">
        <f t="shared" ca="1" si="101"/>
        <v>4805.3537847977759</v>
      </c>
      <c r="Z119" s="4">
        <f t="shared" si="102"/>
        <v>0</v>
      </c>
      <c r="AA119" s="4">
        <f t="shared" si="97"/>
        <v>0</v>
      </c>
      <c r="AB119" s="4">
        <f ca="1">-SUM(W119:AA119)*IFERROR(IF(C119&lt;$F$8,IF($F$23="yes",M50/SUM(M50:$M$52),L50/SUM(L50:$L$52)),IF($F$23="yes",M73/SUM(M73:$M$75),L73/SUM(L73:$L$75))),0)</f>
        <v>-494138.4904833188</v>
      </c>
      <c r="AC119" s="4">
        <f t="shared" ca="1" si="98"/>
        <v>478915.91407283163</v>
      </c>
      <c r="AD119" s="123"/>
      <c r="AE119" s="162"/>
      <c r="AF119" s="163"/>
      <c r="AG119" s="162"/>
      <c r="AH119" s="163"/>
      <c r="AI119" s="163"/>
      <c r="AJ119" s="163"/>
      <c r="AK119" s="163"/>
      <c r="AL119" s="123"/>
      <c r="AM119" s="70"/>
      <c r="AN119" s="70"/>
      <c r="AO119" s="70"/>
      <c r="AT119" s="125"/>
      <c r="AV119" s="4"/>
    </row>
    <row r="120" spans="1:48" s="2" customFormat="1" outlineLevel="1" x14ac:dyDescent="0.55000000000000004">
      <c r="A120" s="9"/>
      <c r="B120" s="1" t="s">
        <v>22</v>
      </c>
      <c r="C120" s="3">
        <v>12</v>
      </c>
      <c r="D120" s="13"/>
      <c r="E120" s="63">
        <f t="shared" ca="1" si="81"/>
        <v>224335.85408177626</v>
      </c>
      <c r="F120" s="63">
        <f t="shared" si="82"/>
        <v>0</v>
      </c>
      <c r="G120" s="63">
        <f t="shared" si="83"/>
        <v>0</v>
      </c>
      <c r="H120" s="63">
        <f t="shared" ca="1" si="84"/>
        <v>558.74867122204137</v>
      </c>
      <c r="I120" s="63">
        <f t="shared" si="85"/>
        <v>-224894.60275299812</v>
      </c>
      <c r="J120" s="63">
        <f t="shared" ca="1" si="86"/>
        <v>0</v>
      </c>
      <c r="K120" s="63">
        <f t="shared" si="87"/>
        <v>0</v>
      </c>
      <c r="L120" s="63">
        <f t="shared" si="88"/>
        <v>0</v>
      </c>
      <c r="M120" s="63">
        <f t="shared" ca="1" si="89"/>
        <v>1.7462298274040222E-10</v>
      </c>
      <c r="N120" s="123"/>
      <c r="O120" s="63">
        <f t="shared" si="90"/>
        <v>6730.0756224532815</v>
      </c>
      <c r="P120" s="63">
        <f t="shared" si="91"/>
        <v>0</v>
      </c>
      <c r="Q120" s="4">
        <f t="shared" si="92"/>
        <v>16.762460136661225</v>
      </c>
      <c r="R120" s="4">
        <f t="shared" si="99"/>
        <v>-6746.838082589943</v>
      </c>
      <c r="S120" s="4">
        <f t="shared" si="93"/>
        <v>0</v>
      </c>
      <c r="T120" s="63">
        <f t="shared" si="94"/>
        <v>0</v>
      </c>
      <c r="U120" s="4">
        <f t="shared" si="95"/>
        <v>0</v>
      </c>
      <c r="V120" s="123"/>
      <c r="W120" s="63">
        <f t="shared" ca="1" si="96"/>
        <v>478915.91407283163</v>
      </c>
      <c r="X120" s="4">
        <f t="shared" si="100"/>
        <v>0</v>
      </c>
      <c r="Y120" s="4">
        <f t="shared" ca="1" si="101"/>
        <v>2376.8269108618247</v>
      </c>
      <c r="Z120" s="4">
        <f t="shared" si="102"/>
        <v>0</v>
      </c>
      <c r="AA120" s="4">
        <f t="shared" si="97"/>
        <v>0</v>
      </c>
      <c r="AB120" s="4">
        <f ca="1">-SUM(W120:AA120)*IFERROR(IF(C120&lt;$F$8,IF($F$23="yes",M51/SUM(M51:$M$52),L51/SUM(L51:$L$52)),IF($F$23="yes",M74/SUM(M74:$M$75),L74/SUM(L74:$L$75))),0)</f>
        <v>-481292.74098369345</v>
      </c>
      <c r="AC120" s="4">
        <f t="shared" ca="1" si="98"/>
        <v>0</v>
      </c>
      <c r="AD120" s="123"/>
      <c r="AE120" s="162"/>
      <c r="AF120" s="163"/>
      <c r="AG120" s="162"/>
      <c r="AH120" s="163"/>
      <c r="AI120" s="163"/>
      <c r="AJ120" s="163"/>
      <c r="AK120" s="163"/>
      <c r="AL120" s="123"/>
      <c r="AM120" s="70"/>
      <c r="AN120" s="70"/>
      <c r="AO120" s="70"/>
      <c r="AT120" s="125"/>
      <c r="AV120" s="4"/>
    </row>
    <row r="121" spans="1:48" s="2" customFormat="1" outlineLevel="1" x14ac:dyDescent="0.55000000000000004">
      <c r="A121"/>
      <c r="B121" s="8"/>
      <c r="C121" s="6"/>
      <c r="D121" s="13"/>
      <c r="E121" s="7"/>
      <c r="F121" s="7"/>
      <c r="G121" s="7"/>
      <c r="H121" s="7"/>
      <c r="I121" s="7"/>
      <c r="J121" s="7"/>
      <c r="K121" s="7"/>
      <c r="L121" s="7"/>
      <c r="M121" s="7"/>
      <c r="O121" s="7"/>
      <c r="P121" s="7"/>
      <c r="Q121" s="7"/>
      <c r="R121" s="7"/>
      <c r="S121" s="7"/>
      <c r="T121" s="7"/>
      <c r="U121" s="7"/>
      <c r="W121" s="7"/>
      <c r="X121" s="7"/>
      <c r="Y121" s="7"/>
      <c r="Z121" s="7"/>
      <c r="AA121" s="7"/>
      <c r="AB121" s="7"/>
      <c r="AC121" s="7"/>
      <c r="AE121" s="166"/>
      <c r="AF121" s="166"/>
      <c r="AG121" s="166"/>
      <c r="AH121" s="166"/>
      <c r="AI121" s="166"/>
      <c r="AJ121" s="166"/>
      <c r="AK121" s="166"/>
      <c r="AM121" s="70"/>
      <c r="AN121" s="70"/>
      <c r="AO121" s="70"/>
    </row>
    <row r="122" spans="1:48" s="2" customFormat="1" outlineLevel="1" x14ac:dyDescent="0.55000000000000004">
      <c r="A122" s="9"/>
      <c r="B122" s="4"/>
      <c r="C122" s="4"/>
      <c r="D122" s="13"/>
      <c r="AE122" s="164"/>
      <c r="AF122" s="164"/>
      <c r="AG122" s="164"/>
      <c r="AH122" s="164"/>
      <c r="AI122" s="164"/>
      <c r="AJ122" s="164"/>
      <c r="AK122" s="164"/>
      <c r="AM122" s="70"/>
      <c r="AN122" s="70"/>
      <c r="AO122" s="70"/>
    </row>
    <row r="123" spans="1:48" s="2" customFormat="1" outlineLevel="1" x14ac:dyDescent="0.55000000000000004">
      <c r="A123" s="9"/>
      <c r="B123" s="24"/>
      <c r="C123" s="24"/>
      <c r="D123" s="13"/>
      <c r="F123" s="52">
        <f t="shared" ref="F123:L123" ca="1" si="103">SUM(F108:F120)</f>
        <v>-5080009.5031540301</v>
      </c>
      <c r="G123" s="52">
        <f t="shared" si="103"/>
        <v>8730000</v>
      </c>
      <c r="H123" s="52">
        <f t="shared" ca="1" si="103"/>
        <v>-22086.401147023069</v>
      </c>
      <c r="I123" s="52">
        <f t="shared" si="103"/>
        <v>-2305384.5258372719</v>
      </c>
      <c r="J123" s="52">
        <f t="shared" ca="1" si="103"/>
        <v>-461570.14923438721</v>
      </c>
      <c r="K123" s="52">
        <f t="shared" ca="1" si="103"/>
        <v>-863951.21300730552</v>
      </c>
      <c r="L123" s="52">
        <f t="shared" ca="1" si="103"/>
        <v>3001.7923800176941</v>
      </c>
      <c r="P123" s="52">
        <f t="shared" ref="P123:T123" si="104">SUM(P108:P120)</f>
        <v>127316.57355093501</v>
      </c>
      <c r="Q123" s="52">
        <f t="shared" si="104"/>
        <v>4142.3451561317606</v>
      </c>
      <c r="R123" s="52">
        <f t="shared" si="104"/>
        <v>-91622.137962923356</v>
      </c>
      <c r="S123" s="52">
        <f t="shared" si="104"/>
        <v>-40091.100025054591</v>
      </c>
      <c r="T123" s="52">
        <f t="shared" si="104"/>
        <v>254.31928091117879</v>
      </c>
      <c r="X123" s="52">
        <f t="shared" ref="X123:AB123" ca="1" si="105">SUM(X108:X120)</f>
        <v>4952692.9296030952</v>
      </c>
      <c r="Y123" s="52">
        <f t="shared" ca="1" si="105"/>
        <v>156879.54908225522</v>
      </c>
      <c r="Z123" s="52">
        <f t="shared" si="105"/>
        <v>0</v>
      </c>
      <c r="AA123" s="52">
        <f t="shared" ca="1" si="105"/>
        <v>904042.31303236005</v>
      </c>
      <c r="AB123" s="52">
        <f t="shared" ca="1" si="105"/>
        <v>-6013614.7917177109</v>
      </c>
      <c r="AE123" s="164"/>
      <c r="AF123" s="167"/>
      <c r="AG123" s="167"/>
      <c r="AH123" s="167"/>
      <c r="AI123" s="167"/>
      <c r="AJ123" s="167"/>
      <c r="AK123" s="164"/>
      <c r="AM123" s="70"/>
      <c r="AN123" s="70"/>
      <c r="AO123" s="70"/>
    </row>
    <row r="124" spans="1:48" s="2" customFormat="1" x14ac:dyDescent="0.55000000000000004">
      <c r="A124" s="9"/>
      <c r="B124" s="24"/>
      <c r="C124" s="24"/>
      <c r="D124" s="4"/>
      <c r="E124" s="4"/>
      <c r="AL124" s="70"/>
      <c r="AM124" s="70"/>
      <c r="AN124" s="70"/>
    </row>
    <row r="125" spans="1:48" s="2" customFormat="1" x14ac:dyDescent="0.55000000000000004">
      <c r="A125" s="9"/>
      <c r="B125" s="24"/>
      <c r="C125" s="24"/>
      <c r="D125" s="4"/>
      <c r="E125" s="4"/>
      <c r="AL125" s="70"/>
      <c r="AM125" s="70"/>
      <c r="AN125" s="70"/>
    </row>
    <row r="126" spans="1:48" s="70" customFormat="1" ht="18.3" x14ac:dyDescent="0.55000000000000004">
      <c r="B126" s="144" t="s">
        <v>168</v>
      </c>
      <c r="AF126" s="75"/>
      <c r="AJ126" s="55"/>
    </row>
    <row r="127" spans="1:48" s="70" customFormat="1" outlineLevel="1" x14ac:dyDescent="0.55000000000000004">
      <c r="B127" s="55"/>
      <c r="C127" s="55"/>
      <c r="D127" s="55"/>
      <c r="E127" s="55"/>
      <c r="F127" s="55"/>
      <c r="G127" s="55"/>
      <c r="H127" s="55"/>
      <c r="I127" s="55"/>
      <c r="J127" s="55"/>
      <c r="K127" s="55"/>
      <c r="L127" s="55"/>
      <c r="M127" s="55"/>
      <c r="N127" s="55"/>
      <c r="O127" s="55"/>
      <c r="P127" s="55"/>
      <c r="Q127" s="55"/>
      <c r="R127" s="55"/>
      <c r="S127" s="55"/>
      <c r="T127" s="55"/>
      <c r="U127" s="55"/>
      <c r="V127" s="55"/>
      <c r="AF127" s="75"/>
    </row>
    <row r="128" spans="1:48" s="70" customFormat="1" outlineLevel="1" x14ac:dyDescent="0.55000000000000004">
      <c r="B128" s="183" t="s">
        <v>10</v>
      </c>
      <c r="C128" s="183"/>
      <c r="E128" s="183" t="s">
        <v>123</v>
      </c>
      <c r="F128" s="183"/>
      <c r="G128" s="183"/>
      <c r="H128" s="183"/>
      <c r="I128" s="183"/>
      <c r="J128" s="183"/>
      <c r="L128" s="183" t="s">
        <v>378</v>
      </c>
      <c r="M128" s="183"/>
      <c r="N128" s="183"/>
      <c r="O128" s="183"/>
      <c r="P128" s="183"/>
      <c r="R128" s="183" t="s">
        <v>462</v>
      </c>
      <c r="S128" s="183"/>
      <c r="T128" s="183"/>
      <c r="U128" s="183"/>
      <c r="V128" s="183"/>
      <c r="W128" s="183"/>
      <c r="X128" s="183"/>
      <c r="Y128" s="183"/>
      <c r="Z128" s="170"/>
      <c r="AA128" s="152" t="s">
        <v>142</v>
      </c>
      <c r="AC128" s="184" t="s">
        <v>5</v>
      </c>
      <c r="AD128" s="184"/>
      <c r="AF128" s="75"/>
    </row>
    <row r="129" spans="2:32" s="70" customFormat="1" ht="25.8" outlineLevel="1" x14ac:dyDescent="0.55000000000000004">
      <c r="B129" s="146" t="s">
        <v>145</v>
      </c>
      <c r="C129" s="146" t="s">
        <v>10</v>
      </c>
      <c r="E129" s="54" t="s">
        <v>11</v>
      </c>
      <c r="F129" s="54" t="s">
        <v>13</v>
      </c>
      <c r="G129" s="54" t="s">
        <v>381</v>
      </c>
      <c r="H129" s="54" t="s">
        <v>337</v>
      </c>
      <c r="I129" s="54" t="s">
        <v>382</v>
      </c>
      <c r="J129" s="54" t="s">
        <v>14</v>
      </c>
      <c r="L129" s="54" t="s">
        <v>11</v>
      </c>
      <c r="M129" s="54" t="s">
        <v>152</v>
      </c>
      <c r="N129" s="54" t="s">
        <v>13</v>
      </c>
      <c r="O129" s="54" t="s">
        <v>133</v>
      </c>
      <c r="P129" s="54" t="s">
        <v>14</v>
      </c>
      <c r="Q129" s="51"/>
      <c r="R129" s="54" t="s">
        <v>11</v>
      </c>
      <c r="S129" s="54" t="s">
        <v>37</v>
      </c>
      <c r="T129" s="54" t="s">
        <v>40</v>
      </c>
      <c r="U129" s="59" t="s">
        <v>13</v>
      </c>
      <c r="V129" s="56" t="s">
        <v>383</v>
      </c>
      <c r="W129" s="54" t="s">
        <v>384</v>
      </c>
      <c r="X129" s="54" t="s">
        <v>119</v>
      </c>
      <c r="Y129" s="54" t="s">
        <v>14</v>
      </c>
      <c r="Z129" s="168"/>
      <c r="AA129" s="76" t="s">
        <v>14</v>
      </c>
      <c r="AC129" s="160" t="s">
        <v>146</v>
      </c>
      <c r="AD129" s="160" t="s">
        <v>147</v>
      </c>
      <c r="AF129" s="75"/>
    </row>
    <row r="130" spans="2:32" s="70" customFormat="1" outlineLevel="1" x14ac:dyDescent="0.55000000000000004">
      <c r="B130" s="119" t="s">
        <v>298</v>
      </c>
      <c r="C130" s="119" t="s">
        <v>299</v>
      </c>
      <c r="E130" s="147" t="s">
        <v>300</v>
      </c>
      <c r="F130" s="147" t="s">
        <v>301</v>
      </c>
      <c r="G130" s="147" t="s">
        <v>302</v>
      </c>
      <c r="H130" s="147" t="s">
        <v>303</v>
      </c>
      <c r="I130" s="147" t="s">
        <v>304</v>
      </c>
      <c r="J130" s="147" t="s">
        <v>305</v>
      </c>
      <c r="L130" s="60" t="s">
        <v>306</v>
      </c>
      <c r="M130" s="60" t="s">
        <v>307</v>
      </c>
      <c r="N130" s="60" t="s">
        <v>308</v>
      </c>
      <c r="O130" s="60" t="s">
        <v>309</v>
      </c>
      <c r="P130" s="60" t="s">
        <v>310</v>
      </c>
      <c r="Q130" s="61"/>
      <c r="R130" s="60" t="s">
        <v>311</v>
      </c>
      <c r="S130" s="60" t="s">
        <v>312</v>
      </c>
      <c r="T130" s="60" t="s">
        <v>313</v>
      </c>
      <c r="U130" s="60" t="s">
        <v>314</v>
      </c>
      <c r="V130" s="60" t="s">
        <v>315</v>
      </c>
      <c r="W130" s="60" t="s">
        <v>316</v>
      </c>
      <c r="X130" s="60" t="s">
        <v>317</v>
      </c>
      <c r="Y130" s="60" t="s">
        <v>318</v>
      </c>
      <c r="Z130" s="169"/>
      <c r="AA130" s="60" t="s">
        <v>319</v>
      </c>
      <c r="AC130" s="60" t="s">
        <v>320</v>
      </c>
      <c r="AD130" s="60" t="s">
        <v>321</v>
      </c>
      <c r="AF130" s="75"/>
    </row>
    <row r="131" spans="2:32" s="70" customFormat="1" outlineLevel="1" x14ac:dyDescent="0.55000000000000004">
      <c r="B131" s="116"/>
      <c r="C131" s="117">
        <v>0</v>
      </c>
      <c r="L131" s="55"/>
      <c r="N131" s="55"/>
      <c r="O131" s="55"/>
      <c r="P131" s="55"/>
      <c r="Q131" s="55"/>
      <c r="R131" s="51"/>
      <c r="S131" s="51"/>
      <c r="T131" s="51"/>
      <c r="U131" s="64"/>
      <c r="V131" s="51"/>
      <c r="W131" s="51"/>
      <c r="X131" s="51"/>
      <c r="Y131" s="51"/>
      <c r="Z131" s="165"/>
      <c r="AA131" s="51"/>
      <c r="AC131" s="51"/>
      <c r="AD131" s="65"/>
      <c r="AF131" s="75"/>
    </row>
    <row r="132" spans="2:32" s="70" customFormat="1" outlineLevel="1" x14ac:dyDescent="0.55000000000000004">
      <c r="B132" s="116" t="s">
        <v>6</v>
      </c>
      <c r="C132" s="117">
        <v>1</v>
      </c>
      <c r="E132" s="51">
        <f>IF(C132=1,Z39,J131)*(1-(F26="immediate"))</f>
        <v>-900000</v>
      </c>
      <c r="F132" s="51">
        <f>IF($F$27="yes",E132*((1+$F$17)^(1/4)-1),0)</f>
        <v>-4466.6384158834389</v>
      </c>
      <c r="G132" s="51">
        <f>-(E132+F132)*($F$26="time")*IFERROR(IF($F$27="yes",D40/SUM(D40:$D$51),1/COUNT(D40:$D$51)),0)</f>
        <v>0</v>
      </c>
      <c r="H132" s="51">
        <f>-(E132+F132)*($F$26="policies IF")*IFERROR(IF(C132&lt;$F$8,IF($F$27="yes",H40/SUM(H40:$H$51),F40/SUM(F40:$F$51)),IF($F$27="yes",H63/SUM(H63:$H$74),F63/SUM(F63:$F$74))),0)</f>
        <v>0</v>
      </c>
      <c r="I132" s="51">
        <f>-(E132+F132)*($F$26="risk")*IFERROR(IF(C132&lt;$F$8,IF($F$27="yes",R40/SUM(R40:$R$51),Q40/SUM(Q40:$Q$51)),IF($F$27="yes",R63/SUM(R63:$R$74),Q63/SUM(Q63:$Q$74))),0)</f>
        <v>17809.901507168015</v>
      </c>
      <c r="J132" s="51">
        <f t="shared" ref="J132:J143" si="106">SUM(E132:I132)</f>
        <v>-886656.73690871545</v>
      </c>
      <c r="K132" s="123"/>
      <c r="L132" s="51">
        <f ca="1">IF(C132=1,IF(F27="yes",-AD54-AH54,-W54-AA54),P131)</f>
        <v>6726340.9741727291</v>
      </c>
      <c r="M132" s="51">
        <f>IF(C132=$F$8,AS62,0)</f>
        <v>0</v>
      </c>
      <c r="N132" s="51">
        <f ca="1">IF($F$27="yes",(L132+M132)*((1+$F$17)^(1/4)-1),0)</f>
        <v>33382.369992856387</v>
      </c>
      <c r="O132" s="51">
        <f ca="1">-(L132+M132+N132)*IFERROR(IF(C132&lt;$F$8,IF($F$24="yes",R40/SUM(R40:$R$52),Q40/SUM(Q40:$Q$52)),IF($F$24="yes",R63/SUM(R63:$R$74),Q63/SUM(Q63:$Q$74))),0)</f>
        <v>-133106.07805960541</v>
      </c>
      <c r="P132" s="51">
        <f t="shared" ref="P132:P143" ca="1" si="107">SUM(L132:O132)</f>
        <v>6626617.2661059797</v>
      </c>
      <c r="Q132" s="123"/>
      <c r="R132" s="51">
        <f t="shared" ref="R132:R143" si="108">IF(C132=1,0,Y131)</f>
        <v>0</v>
      </c>
      <c r="S132" s="51">
        <f t="shared" ref="S132:S143" si="109">IF($C109&lt;=$F$8,-W39,-W85)</f>
        <v>3000000</v>
      </c>
      <c r="T132" s="51">
        <f>E132</f>
        <v>-900000</v>
      </c>
      <c r="U132" s="51">
        <f t="shared" ref="U132:U143" si="110">IF($F$27="yes",(R132+S132+T132)*((1+$F$17)^(1/4)-1),0)</f>
        <v>10422.156303728025</v>
      </c>
      <c r="V132" s="51">
        <f>-SUM(G132:I132)</f>
        <v>-17809.901507168015</v>
      </c>
      <c r="W132" s="51">
        <f ca="1">O132</f>
        <v>-133106.07805960541</v>
      </c>
      <c r="X132" s="51">
        <f ca="1">IF($C109&lt;$F$8,-AA40,-AA86)</f>
        <v>-122081.37974285436</v>
      </c>
      <c r="Y132" s="51">
        <f t="shared" ref="Y132:Y143" ca="1" si="111">SUM(R132:X132)</f>
        <v>1837424.7969941003</v>
      </c>
      <c r="Z132" s="165"/>
      <c r="AA132" s="51">
        <f t="shared" ref="AA132:AA143" ca="1" si="112">ROUND(M109+U109+AC109,2)</f>
        <v>3178802.63</v>
      </c>
      <c r="AC132" s="51">
        <f t="shared" ref="AC132:AC143" ca="1" si="113">ABS(Y132-AA132)</f>
        <v>1341377.8330058996</v>
      </c>
      <c r="AD132" s="93">
        <f t="shared" ref="AD132:AD143" ca="1" si="114">IFERROR(AC132/ABS(AA132),0)</f>
        <v>0.4219758157825293</v>
      </c>
      <c r="AF132" s="75"/>
    </row>
    <row r="133" spans="2:32" s="70" customFormat="1" outlineLevel="1" x14ac:dyDescent="0.55000000000000004">
      <c r="B133" s="116" t="s">
        <v>7</v>
      </c>
      <c r="C133" s="117">
        <v>2</v>
      </c>
      <c r="E133" s="51">
        <f t="shared" ref="E133:E143" si="115">IF(C133=1,Z40,J132)</f>
        <v>-886656.73690871545</v>
      </c>
      <c r="F133" s="51">
        <f t="shared" ref="F133:F143" si="116">IF($F$27="yes",E133*((1+$F$17)^(1/4)-1),0)</f>
        <v>-4400.4167141981379</v>
      </c>
      <c r="G133" s="51">
        <f>-(E133+F133)*($F$26="time")*IFERROR(IF($F$27="yes",D41/SUM(D41:$D$51),1/COUNT(D41:$D$51)),0)</f>
        <v>0</v>
      </c>
      <c r="H133" s="51">
        <f>-(E133+F133)*($F$26="policies IF")*IFERROR(IF(C133&lt;$F$8,IF($F$27="yes",H41/SUM(H41:$H$51),F41/SUM(F41:$F$51)),IF($F$27="yes",H64/SUM(H64:$H$74),F64/SUM(F64:$F$74))),0)</f>
        <v>0</v>
      </c>
      <c r="I133" s="51">
        <f>-(E133+F133)*($F$26="risk")*IFERROR(IF(C133&lt;$F$8,IF($F$27="yes",R41/SUM(R41:$R$51),Q41/SUM(Q41:$Q$51)),IF($F$27="yes",R64/SUM(R64:$R$74),Q64/SUM(Q64:$Q$74))),0)</f>
        <v>33687.129815154338</v>
      </c>
      <c r="J133" s="51">
        <f t="shared" si="106"/>
        <v>-857370.02380775928</v>
      </c>
      <c r="K133" s="123"/>
      <c r="L133" s="51">
        <f ca="1">IF(C133=1,IF(F28="yes",-AD55-AH55,-W55-AA55),P132)</f>
        <v>6626617.2661059797</v>
      </c>
      <c r="M133" s="51">
        <f t="shared" ref="M133:M143" si="117">IF(C133=$F$8,AS63,0)</f>
        <v>0</v>
      </c>
      <c r="N133" s="51">
        <f t="shared" ref="N133:N143" ca="1" si="118">IF($F$27="yes",(L133+M133)*((1+$F$17)^(1/4)-1),0)</f>
        <v>32887.448053494954</v>
      </c>
      <c r="O133" s="51">
        <f ca="1">-(L133+M133+N133)*IFERROR(IF(C133&lt;$F$8,IF($F$24="yes",R41/SUM(R41:$R$52),Q41/SUM(Q41:$Q$52)),IF($F$24="yes",R64/SUM(R64:$R$74),Q64/SUM(Q64:$Q$74))),0)</f>
        <v>-251767.91286438712</v>
      </c>
      <c r="P133" s="51">
        <f t="shared" ca="1" si="107"/>
        <v>6407736.8012950877</v>
      </c>
      <c r="Q133" s="123"/>
      <c r="R133" s="51">
        <f t="shared" ca="1" si="108"/>
        <v>1837424.7969941003</v>
      </c>
      <c r="S133" s="51">
        <f t="shared" si="109"/>
        <v>0</v>
      </c>
      <c r="T133" s="51">
        <f t="shared" ref="T133:T143" si="119">-Z40</f>
        <v>0</v>
      </c>
      <c r="U133" s="51">
        <f t="shared" ca="1" si="110"/>
        <v>9119.0135383896431</v>
      </c>
      <c r="V133" s="51">
        <f t="shared" ref="V133:V143" si="120">-SUM(G133:I133)</f>
        <v>-33687.129815154338</v>
      </c>
      <c r="W133" s="51">
        <f t="shared" ref="W133:W143" ca="1" si="121">O133</f>
        <v>-251767.91286438712</v>
      </c>
      <c r="X133" s="51">
        <f t="shared" ref="X133:X143" ca="1" si="122">IF($C110&lt;$F$8,-AA41,-AA87)</f>
        <v>-76971.627004889961</v>
      </c>
      <c r="Y133" s="51">
        <f t="shared" ca="1" si="111"/>
        <v>1484117.1408480587</v>
      </c>
      <c r="Z133" s="165"/>
      <c r="AA133" s="51">
        <f t="shared" ca="1" si="112"/>
        <v>2483442.92</v>
      </c>
      <c r="AC133" s="51">
        <f t="shared" ca="1" si="113"/>
        <v>999325.77915194118</v>
      </c>
      <c r="AD133" s="93">
        <f t="shared" ca="1" si="114"/>
        <v>0.40239530818447045</v>
      </c>
      <c r="AF133" s="75"/>
    </row>
    <row r="134" spans="2:32" s="70" customFormat="1" outlineLevel="1" x14ac:dyDescent="0.55000000000000004">
      <c r="B134" s="116" t="s">
        <v>8</v>
      </c>
      <c r="C134" s="117">
        <v>3</v>
      </c>
      <c r="E134" s="51">
        <f t="shared" si="115"/>
        <v>-857370.02380775928</v>
      </c>
      <c r="F134" s="51">
        <f t="shared" si="116"/>
        <v>-4255.0687610740406</v>
      </c>
      <c r="G134" s="51">
        <f>-(E134+F134)*($F$26="time")*IFERROR(IF($F$27="yes",D42/SUM(D42:$D$51),1/COUNT(D42:$D$51)),0)</f>
        <v>0</v>
      </c>
      <c r="H134" s="51">
        <f>-(E134+F134)*($F$26="policies IF")*IFERROR(IF(C134&lt;$F$8,IF($F$27="yes",H42/SUM(H42:$H$51),F42/SUM(F42:$F$51)),IF($F$27="yes",H65/SUM(H65:$H$74),F65/SUM(F65:$F$74))),0)</f>
        <v>0</v>
      </c>
      <c r="I134" s="51">
        <f>-(E134+F134)*($F$26="risk")*IFERROR(IF(C134&lt;$F$8,IF($F$27="yes",R42/SUM(R42:$R$51),Q42/SUM(Q42:$Q$51)),IF($F$27="yes",R65/SUM(R65:$R$74),Q65/SUM(Q65:$Q$74))),0)</f>
        <v>47788.980531124384</v>
      </c>
      <c r="J134" s="51">
        <f t="shared" si="106"/>
        <v>-813836.11203770887</v>
      </c>
      <c r="K134" s="123"/>
      <c r="L134" s="51">
        <f ca="1">IF(C134=1,IF(F30="yes",-AD57-AH57,-W57-AA57),P133)</f>
        <v>6407736.8012950877</v>
      </c>
      <c r="M134" s="51">
        <f t="shared" si="117"/>
        <v>0</v>
      </c>
      <c r="N134" s="51">
        <f t="shared" ca="1" si="118"/>
        <v>31801.159283927453</v>
      </c>
      <c r="O134" s="51">
        <f ca="1">-(L134+M134+N134)*IFERROR(IF(C134&lt;$F$8,IF($F$24="yes",R42/SUM(R42:$R$52),Q42/SUM(Q42:$Q$52)),IF($F$24="yes",R65/SUM(R65:$R$74),Q65/SUM(Q65:$Q$74))),0)</f>
        <v>-357161.0865116053</v>
      </c>
      <c r="P134" s="51">
        <f t="shared" ca="1" si="107"/>
        <v>6082376.8740674099</v>
      </c>
      <c r="Q134" s="123"/>
      <c r="R134" s="51">
        <f t="shared" ca="1" si="108"/>
        <v>1484117.1408480587</v>
      </c>
      <c r="S134" s="51">
        <f t="shared" si="109"/>
        <v>0</v>
      </c>
      <c r="T134" s="51">
        <f t="shared" si="119"/>
        <v>0</v>
      </c>
      <c r="U134" s="51">
        <f t="shared" ca="1" si="110"/>
        <v>7365.5718166478136</v>
      </c>
      <c r="V134" s="51">
        <f t="shared" si="120"/>
        <v>-47788.980531124384</v>
      </c>
      <c r="W134" s="51">
        <f t="shared" ca="1" si="121"/>
        <v>-357161.0865116053</v>
      </c>
      <c r="X134" s="51">
        <f t="shared" ca="1" si="122"/>
        <v>-36397.635185598439</v>
      </c>
      <c r="Y134" s="51">
        <f t="shared" ca="1" si="111"/>
        <v>1050135.0104363784</v>
      </c>
      <c r="Z134" s="165"/>
      <c r="AA134" s="51">
        <f t="shared" ca="1" si="112"/>
        <v>1812728.83</v>
      </c>
      <c r="AC134" s="51">
        <f t="shared" ca="1" si="113"/>
        <v>762593.81956362166</v>
      </c>
      <c r="AD134" s="93">
        <f t="shared" ca="1" si="114"/>
        <v>0.42068830535652796</v>
      </c>
      <c r="AF134" s="75"/>
    </row>
    <row r="135" spans="2:32" s="70" customFormat="1" outlineLevel="1" x14ac:dyDescent="0.55000000000000004">
      <c r="B135" s="116" t="s">
        <v>9</v>
      </c>
      <c r="C135" s="117">
        <v>4</v>
      </c>
      <c r="E135" s="51">
        <f t="shared" si="115"/>
        <v>-813836.11203770887</v>
      </c>
      <c r="F135" s="51">
        <f t="shared" si="116"/>
        <v>-4039.0129358453878</v>
      </c>
      <c r="G135" s="51">
        <f>-(E135+F135)*($F$26="time")*IFERROR(IF($F$27="yes",D43/SUM(D43:$D$51),1/COUNT(D43:$D$51)),0)</f>
        <v>0</v>
      </c>
      <c r="H135" s="51">
        <f>-(E135+F135)*($F$26="policies IF")*IFERROR(IF(C135&lt;$F$8,IF($F$27="yes",H43/SUM(H43:$H$51),F43/SUM(F43:$F$51)),IF($F$27="yes",H66/SUM(H66:$H$74),F66/SUM(F66:$F$74))),0)</f>
        <v>0</v>
      </c>
      <c r="I135" s="51">
        <f>-(E135+F135)*($F$26="risk")*IFERROR(IF(C135&lt;$F$8,IF($F$27="yes",R43/SUM(R43:$R$51),Q43/SUM(Q43:$Q$51)),IF($F$27="yes",R66/SUM(R66:$R$74),Q66/SUM(Q66:$Q$74))),0)</f>
        <v>60261.369786836018</v>
      </c>
      <c r="J135" s="51">
        <f t="shared" si="106"/>
        <v>-757613.75518671831</v>
      </c>
      <c r="K135" s="123"/>
      <c r="L135" s="51">
        <f ca="1">IF(C135=1,IF(F31="yes",-AD58-AH58,-W58-AA58),P134)</f>
        <v>6082376.8740674099</v>
      </c>
      <c r="M135" s="51">
        <f t="shared" si="117"/>
        <v>0</v>
      </c>
      <c r="N135" s="51">
        <f t="shared" ca="1" si="118"/>
        <v>30186.420228433912</v>
      </c>
      <c r="O135" s="51">
        <f ca="1">-(L135+M135+N135)*IFERROR(IF(C135&lt;$F$8,IF($F$24="yes",R43/SUM(R43:$R$52),Q43/SUM(Q43:$Q$52)),IF($F$24="yes",R66/SUM(R66:$R$74),Q66/SUM(Q66:$Q$74))),0)</f>
        <v>-450376.13417441072</v>
      </c>
      <c r="P135" s="51">
        <f t="shared" ca="1" si="107"/>
        <v>5662187.1601214334</v>
      </c>
      <c r="Q135" s="123"/>
      <c r="R135" s="51">
        <f t="shared" ca="1" si="108"/>
        <v>1050135.0104363784</v>
      </c>
      <c r="S135" s="51">
        <f t="shared" si="109"/>
        <v>0</v>
      </c>
      <c r="T135" s="51">
        <f t="shared" si="119"/>
        <v>0</v>
      </c>
      <c r="U135" s="51">
        <f t="shared" ca="1" si="110"/>
        <v>5211.7481994214268</v>
      </c>
      <c r="V135" s="51">
        <f t="shared" si="120"/>
        <v>-60261.369786836018</v>
      </c>
      <c r="W135" s="51">
        <f t="shared" ca="1" si="121"/>
        <v>-450376.13417441072</v>
      </c>
      <c r="X135" s="51">
        <f t="shared" ca="1" si="122"/>
        <v>0</v>
      </c>
      <c r="Y135" s="51">
        <f t="shared" ca="1" si="111"/>
        <v>544709.25467455317</v>
      </c>
      <c r="Z135" s="165"/>
      <c r="AA135" s="51">
        <f t="shared" ca="1" si="112"/>
        <v>1165534.69</v>
      </c>
      <c r="AC135" s="51">
        <f t="shared" ca="1" si="113"/>
        <v>620825.43532544677</v>
      </c>
      <c r="AD135" s="93">
        <f t="shared" ca="1" si="114"/>
        <v>0.53265290227049944</v>
      </c>
      <c r="AF135" s="75"/>
    </row>
    <row r="136" spans="2:32" s="70" customFormat="1" outlineLevel="1" x14ac:dyDescent="0.55000000000000004">
      <c r="B136" s="116" t="s">
        <v>15</v>
      </c>
      <c r="C136" s="117">
        <v>5</v>
      </c>
      <c r="E136" s="51">
        <f t="shared" si="115"/>
        <v>-757613.75518671831</v>
      </c>
      <c r="F136" s="51">
        <f t="shared" si="116"/>
        <v>-3759.9852259096747</v>
      </c>
      <c r="G136" s="51">
        <f>-(E136+F136)*($F$26="time")*IFERROR(IF($F$27="yes",D44/SUM(D44:$D$51),1/COUNT(D44:$D$51)),0)</f>
        <v>0</v>
      </c>
      <c r="H136" s="51">
        <f>-(E136+F136)*($F$26="policies IF")*IFERROR(IF(C136&lt;$F$8,IF($F$27="yes",H44/SUM(H44:$H$51),F44/SUM(F44:$F$51)),IF($F$27="yes",H67/SUM(H67:$H$74),F67/SUM(F67:$F$74))),0)</f>
        <v>0</v>
      </c>
      <c r="I136" s="51">
        <f>-(E136+F136)*($F$26="risk")*IFERROR(IF(C136&lt;$F$8,IF($F$27="yes",R44/SUM(R44:$R$51),Q44/SUM(Q44:$Q$51)),IF($F$27="yes",R67/SUM(R67:$R$74),Q67/SUM(Q67:$Q$74))),0)</f>
        <v>71239.606028672089</v>
      </c>
      <c r="J136" s="51">
        <f t="shared" si="106"/>
        <v>-690134.13438395585</v>
      </c>
      <c r="K136" s="123"/>
      <c r="L136" s="51">
        <f t="shared" ref="L136:L143" ca="1" si="123">IF(C136=1,IF(F34="yes",-AD59-AH59,-W59-AA59),P135)</f>
        <v>5662187.1601214334</v>
      </c>
      <c r="M136" s="51">
        <f t="shared" si="117"/>
        <v>0</v>
      </c>
      <c r="N136" s="51">
        <f t="shared" ca="1" si="118"/>
        <v>28101.047430355942</v>
      </c>
      <c r="O136" s="51">
        <f ca="1">-(L136+M136+N136)*IFERROR(IF(C136&lt;$F$8,IF($F$24="yes",R44/SUM(R44:$R$52),Q44/SUM(Q44:$Q$52)),IF($F$24="yes",R67/SUM(R67:$R$74),Q67/SUM(Q67:$Q$74))),0)</f>
        <v>-532424.31223842187</v>
      </c>
      <c r="P136" s="51">
        <f t="shared" ca="1" si="107"/>
        <v>5157863.8953133672</v>
      </c>
      <c r="Q136" s="123"/>
      <c r="R136" s="51">
        <f t="shared" ca="1" si="108"/>
        <v>544709.25467455317</v>
      </c>
      <c r="S136" s="51">
        <f t="shared" si="109"/>
        <v>2400000</v>
      </c>
      <c r="T136" s="51">
        <f t="shared" si="119"/>
        <v>0</v>
      </c>
      <c r="U136" s="51">
        <f t="shared" ca="1" si="110"/>
        <v>14614.390533929831</v>
      </c>
      <c r="V136" s="51">
        <f t="shared" si="120"/>
        <v>-71239.606028672089</v>
      </c>
      <c r="W136" s="51">
        <f t="shared" ca="1" si="121"/>
        <v>-532424.31223842187</v>
      </c>
      <c r="X136" s="51">
        <f t="shared" ca="1" si="122"/>
        <v>-78132.083035426811</v>
      </c>
      <c r="Y136" s="51">
        <f t="shared" ca="1" si="111"/>
        <v>2277527.6439059619</v>
      </c>
      <c r="Z136" s="165"/>
      <c r="AA136" s="51">
        <f t="shared" ca="1" si="112"/>
        <v>2842020.73</v>
      </c>
      <c r="AC136" s="51">
        <f t="shared" ca="1" si="113"/>
        <v>564493.0860940381</v>
      </c>
      <c r="AD136" s="93">
        <f t="shared" ca="1" si="114"/>
        <v>0.19862384539821357</v>
      </c>
      <c r="AF136" s="75"/>
    </row>
    <row r="137" spans="2:32" s="70" customFormat="1" outlineLevel="1" x14ac:dyDescent="0.55000000000000004">
      <c r="B137" s="116" t="s">
        <v>16</v>
      </c>
      <c r="C137" s="117">
        <v>6</v>
      </c>
      <c r="E137" s="51">
        <f t="shared" si="115"/>
        <v>-690134.13438395585</v>
      </c>
      <c r="F137" s="51">
        <f t="shared" si="116"/>
        <v>-3425.0884852798235</v>
      </c>
      <c r="G137" s="51">
        <f>-(E137+F137)*($F$26="time")*IFERROR(IF($F$27="yes",D45/SUM(D45:$D$51),1/COUNT(D45:$D$51)),0)</f>
        <v>0</v>
      </c>
      <c r="H137" s="51">
        <f>-(E137+F137)*($F$26="policies IF")*IFERROR(IF(C137&lt;$F$8,IF($F$27="yes",H45/SUM(H45:$H$51),F45/SUM(F45:$F$51)),IF($F$27="yes",H68/SUM(H68:$H$74),F68/SUM(F68:$F$74))),0)</f>
        <v>0</v>
      </c>
      <c r="I137" s="51">
        <f>-(E137+F137)*($F$26="risk")*IFERROR(IF(C137&lt;$F$8,IF($F$27="yes",R45/SUM(R45:$R$51),Q45/SUM(Q45:$Q$51)),IF($F$27="yes",R68/SUM(R68:$R$74),Q68/SUM(Q68:$Q$74))),0)</f>
        <v>80849.111556370422</v>
      </c>
      <c r="J137" s="51">
        <f t="shared" si="106"/>
        <v>-612710.11131286528</v>
      </c>
      <c r="K137" s="123"/>
      <c r="L137" s="51">
        <f t="shared" ca="1" si="123"/>
        <v>5157863.8953133672</v>
      </c>
      <c r="M137" s="51">
        <f t="shared" si="117"/>
        <v>0</v>
      </c>
      <c r="N137" s="51">
        <f t="shared" ca="1" si="118"/>
        <v>25598.12557633876</v>
      </c>
      <c r="O137" s="51">
        <f ca="1">-(L137+M137+N137)*IFERROR(IF(C137&lt;$F$8,IF($F$24="yes",R45/SUM(R45:$R$52),Q45/SUM(Q45:$Q$52)),IF($F$24="yes",R68/SUM(R68:$R$74),Q68/SUM(Q68:$Q$74))),0)</f>
        <v>-604242.99087452923</v>
      </c>
      <c r="P137" s="51">
        <f t="shared" ca="1" si="107"/>
        <v>4579219.0300151771</v>
      </c>
      <c r="Q137" s="123"/>
      <c r="R137" s="51">
        <f t="shared" ca="1" si="108"/>
        <v>2277527.6439059619</v>
      </c>
      <c r="S137" s="51">
        <f t="shared" si="109"/>
        <v>0</v>
      </c>
      <c r="T137" s="51">
        <f t="shared" si="119"/>
        <v>0</v>
      </c>
      <c r="U137" s="51">
        <f t="shared" ca="1" si="110"/>
        <v>11303.213852785408</v>
      </c>
      <c r="V137" s="51">
        <f t="shared" si="120"/>
        <v>-80849.111556370422</v>
      </c>
      <c r="W137" s="51">
        <f t="shared" ca="1" si="121"/>
        <v>-604242.99087452923</v>
      </c>
      <c r="X137" s="51">
        <f t="shared" ca="1" si="122"/>
        <v>-49261.841283129601</v>
      </c>
      <c r="Y137" s="51">
        <f t="shared" ca="1" si="111"/>
        <v>1554476.9140447183</v>
      </c>
      <c r="Z137" s="165"/>
      <c r="AA137" s="51">
        <f t="shared" ca="1" si="112"/>
        <v>2139314.96</v>
      </c>
      <c r="AC137" s="51">
        <f t="shared" ca="1" si="113"/>
        <v>584838.0459552817</v>
      </c>
      <c r="AD137" s="93">
        <f t="shared" ca="1" si="114"/>
        <v>0.27337631760181852</v>
      </c>
      <c r="AF137" s="75"/>
    </row>
    <row r="138" spans="2:32" s="70" customFormat="1" outlineLevel="1" x14ac:dyDescent="0.55000000000000004">
      <c r="B138" s="116" t="s">
        <v>17</v>
      </c>
      <c r="C138" s="117">
        <v>7</v>
      </c>
      <c r="E138" s="51">
        <f t="shared" si="115"/>
        <v>-612710.11131286528</v>
      </c>
      <c r="F138" s="51">
        <f t="shared" si="116"/>
        <v>-3040.8383566558473</v>
      </c>
      <c r="G138" s="51">
        <f>-(E138+F138)*($F$26="time")*IFERROR(IF($F$27="yes",D46/SUM(D46:$D$51),1/COUNT(D46:$D$51)),0)</f>
        <v>0</v>
      </c>
      <c r="H138" s="51">
        <f>-(E138+F138)*($F$26="policies IF")*IFERROR(IF(C138&lt;$F$8,IF($F$27="yes",H46/SUM(H46:$H$51),F46/SUM(F46:$F$51)),IF($F$27="yes",H69/SUM(H69:$H$74),F69/SUM(F69:$F$74))),0)</f>
        <v>0</v>
      </c>
      <c r="I138" s="51">
        <f>-(E138+F138)*($F$26="risk")*IFERROR(IF(C138&lt;$F$8,IF($F$27="yes",R46/SUM(R46:$R$51),Q46/SUM(Q46:$Q$51)),IF($F$27="yes",R69/SUM(R69:$R$74),Q69/SUM(Q69:$Q$74))),0)</f>
        <v>103250.28104651197</v>
      </c>
      <c r="J138" s="51">
        <f t="shared" si="106"/>
        <v>-512500.66862300911</v>
      </c>
      <c r="K138" s="123"/>
      <c r="L138" s="51">
        <f t="shared" ca="1" si="123"/>
        <v>4579219.0300151771</v>
      </c>
      <c r="M138" s="51">
        <f t="shared" ca="1" si="117"/>
        <v>618097.77679407992</v>
      </c>
      <c r="N138" s="51">
        <f t="shared" ca="1" si="118"/>
        <v>25793.927676456526</v>
      </c>
      <c r="O138" s="51">
        <f ca="1">-(L138+M138+N138)*IFERROR(IF(C138&lt;$F$8,IF($F$24="yes",R46/SUM(R46:$R$52),Q46/SUM(Q46:$Q$52)),IF($F$24="yes",R69/SUM(R69:$R$74),Q69/SUM(Q69:$Q$74))),0)</f>
        <v>-875821.06298357144</v>
      </c>
      <c r="P138" s="51">
        <f t="shared" ca="1" si="107"/>
        <v>4347289.6715021422</v>
      </c>
      <c r="Q138" s="123"/>
      <c r="R138" s="51">
        <f t="shared" ca="1" si="108"/>
        <v>1554476.9140447183</v>
      </c>
      <c r="S138" s="51">
        <f t="shared" si="109"/>
        <v>0</v>
      </c>
      <c r="T138" s="51">
        <f t="shared" si="119"/>
        <v>0</v>
      </c>
      <c r="U138" s="51">
        <f t="shared" ca="1" si="110"/>
        <v>7714.7625565289754</v>
      </c>
      <c r="V138" s="51">
        <f t="shared" si="120"/>
        <v>-103250.28104651197</v>
      </c>
      <c r="W138" s="51">
        <f t="shared" ca="1" si="121"/>
        <v>-875821.06298357144</v>
      </c>
      <c r="X138" s="51">
        <f t="shared" ca="1" si="122"/>
        <v>69646.335015086108</v>
      </c>
      <c r="Y138" s="51">
        <f t="shared" ca="1" si="111"/>
        <v>652766.66758624977</v>
      </c>
      <c r="Z138" s="165"/>
      <c r="AA138" s="51">
        <f t="shared" ca="1" si="112"/>
        <v>1361587.15</v>
      </c>
      <c r="AC138" s="51">
        <f t="shared" ca="1" si="113"/>
        <v>708820.48241375014</v>
      </c>
      <c r="AD138" s="93">
        <f t="shared" ca="1" si="114"/>
        <v>0.52058399817723766</v>
      </c>
      <c r="AF138" s="75"/>
    </row>
    <row r="139" spans="2:32" s="70" customFormat="1" outlineLevel="1" x14ac:dyDescent="0.55000000000000004">
      <c r="B139" s="116" t="s">
        <v>18</v>
      </c>
      <c r="C139" s="117">
        <v>8</v>
      </c>
      <c r="E139" s="51">
        <f t="shared" si="115"/>
        <v>-512500.66862300911</v>
      </c>
      <c r="F139" s="51">
        <f t="shared" si="116"/>
        <v>-2543.505749597201</v>
      </c>
      <c r="G139" s="51">
        <f>-(E139+F139)*($F$26="time")*IFERROR(IF($F$27="yes",D47/SUM(D47:$D$51),1/COUNT(D47:$D$51)),0)</f>
        <v>0</v>
      </c>
      <c r="H139" s="51">
        <f>-(E139+F139)*($F$26="policies IF")*IFERROR(IF(C139&lt;$F$8,IF($F$27="yes",H47/SUM(H47:$H$51),F47/SUM(F47:$F$51)),IF($F$27="yes",H70/SUM(H70:$H$74),F70/SUM(F70:$F$74))),0)</f>
        <v>0</v>
      </c>
      <c r="I139" s="51">
        <f>-(E139+F139)*($F$26="risk")*IFERROR(IF(C139&lt;$F$8,IF($F$27="yes",R47/SUM(R47:$R$51),Q47/SUM(Q47:$Q$51)),IF($F$27="yes",R70/SUM(R70:$R$74),Q70/SUM(Q70:$Q$74))),0)</f>
        <v>109553.98329122188</v>
      </c>
      <c r="J139" s="51">
        <f t="shared" si="106"/>
        <v>-405490.19108138443</v>
      </c>
      <c r="K139" s="123"/>
      <c r="L139" s="51">
        <f t="shared" ca="1" si="123"/>
        <v>4347289.6715021422</v>
      </c>
      <c r="M139" s="51">
        <f t="shared" si="117"/>
        <v>0</v>
      </c>
      <c r="N139" s="51">
        <f t="shared" ca="1" si="118"/>
        <v>21575.301168560851</v>
      </c>
      <c r="O139" s="51">
        <f ca="1">-(L139+M139+N139)*IFERROR(IF(C139&lt;$F$8,IF($F$24="yes",R47/SUM(R47:$R$52),Q47/SUM(Q47:$Q$52)),IF($F$24="yes",R70/SUM(R70:$R$74),Q70/SUM(Q70:$Q$74))),0)</f>
        <v>-929292.25109788461</v>
      </c>
      <c r="P139" s="51">
        <f t="shared" ca="1" si="107"/>
        <v>3439572.7215728187</v>
      </c>
      <c r="Q139" s="123"/>
      <c r="R139" s="51">
        <f t="shared" ca="1" si="108"/>
        <v>652766.66758624977</v>
      </c>
      <c r="S139" s="51">
        <f t="shared" si="109"/>
        <v>0</v>
      </c>
      <c r="T139" s="51">
        <f t="shared" si="119"/>
        <v>0</v>
      </c>
      <c r="U139" s="51">
        <f t="shared" ca="1" si="110"/>
        <v>3239.6363044988425</v>
      </c>
      <c r="V139" s="51">
        <f t="shared" si="120"/>
        <v>-109553.98329122188</v>
      </c>
      <c r="W139" s="51">
        <f t="shared" ca="1" si="121"/>
        <v>-929292.25109788461</v>
      </c>
      <c r="X139" s="51">
        <f t="shared" ca="1" si="122"/>
        <v>0</v>
      </c>
      <c r="Y139" s="51">
        <f t="shared" ca="1" si="111"/>
        <v>-382839.93049835786</v>
      </c>
      <c r="Z139" s="165"/>
      <c r="AA139" s="51">
        <f t="shared" ca="1" si="112"/>
        <v>580605.93000000005</v>
      </c>
      <c r="AC139" s="51">
        <f t="shared" ca="1" si="113"/>
        <v>963445.86049835791</v>
      </c>
      <c r="AD139" s="93">
        <f t="shared" ca="1" si="114"/>
        <v>1.6593799868670955</v>
      </c>
      <c r="AF139" s="75"/>
    </row>
    <row r="140" spans="2:32" s="70" customFormat="1" outlineLevel="1" x14ac:dyDescent="0.55000000000000004">
      <c r="B140" s="116" t="s">
        <v>19</v>
      </c>
      <c r="C140" s="117">
        <v>9</v>
      </c>
      <c r="E140" s="51">
        <f t="shared" si="115"/>
        <v>-405490.19108138443</v>
      </c>
      <c r="F140" s="51">
        <f t="shared" si="116"/>
        <v>-2012.4200719422533</v>
      </c>
      <c r="G140" s="51">
        <f>-(E140+F140)*($F$26="time")*IFERROR(IF($F$27="yes",D48/SUM(D48:$D$51),1/COUNT(D48:$D$51)),0)</f>
        <v>0</v>
      </c>
      <c r="H140" s="51">
        <f>-(E140+F140)*($F$26="policies IF")*IFERROR(IF(C140&lt;$F$8,IF($F$27="yes",H48/SUM(H48:$H$51),F48/SUM(F48:$F$51)),IF($F$27="yes",H71/SUM(H71:$H$74),F71/SUM(F71:$F$74))),0)</f>
        <v>0</v>
      </c>
      <c r="I140" s="51">
        <f>-(E140+F140)*($F$26="risk")*IFERROR(IF(C140&lt;$F$8,IF($F$27="yes",R48/SUM(R48:$R$51),Q48/SUM(Q48:$Q$51)),IF($F$27="yes",R71/SUM(R71:$R$74),Q71/SUM(Q71:$Q$74))),0)</f>
        <v>106705.99016146451</v>
      </c>
      <c r="J140" s="51">
        <f t="shared" si="106"/>
        <v>-300796.6209918622</v>
      </c>
      <c r="K140" s="123"/>
      <c r="L140" s="51">
        <f t="shared" ca="1" si="123"/>
        <v>3439572.7215728187</v>
      </c>
      <c r="M140" s="51">
        <f t="shared" si="117"/>
        <v>0</v>
      </c>
      <c r="N140" s="51">
        <f t="shared" ca="1" si="118"/>
        <v>17070.364058224339</v>
      </c>
      <c r="O140" s="51">
        <f ca="1">-(L140+M140+N140)*IFERROR(IF(C140&lt;$F$8,IF($F$24="yes",R48/SUM(R48:$R$52),Q48/SUM(Q48:$Q$52)),IF($F$24="yes",R71/SUM(R71:$R$74),Q71/SUM(Q71:$Q$74))),0)</f>
        <v>-905134.13409333758</v>
      </c>
      <c r="P140" s="51">
        <f t="shared" ca="1" si="107"/>
        <v>2551508.9515377055</v>
      </c>
      <c r="Q140" s="123"/>
      <c r="R140" s="51">
        <f t="shared" ca="1" si="108"/>
        <v>-382839.93049835786</v>
      </c>
      <c r="S140" s="51">
        <f t="shared" si="109"/>
        <v>2430000</v>
      </c>
      <c r="T140" s="51">
        <f t="shared" si="119"/>
        <v>0</v>
      </c>
      <c r="U140" s="51">
        <f t="shared" ca="1" si="110"/>
        <v>10159.91534433183</v>
      </c>
      <c r="V140" s="51">
        <f t="shared" si="120"/>
        <v>-106705.99016146451</v>
      </c>
      <c r="W140" s="51">
        <f t="shared" ca="1" si="121"/>
        <v>-905134.13409333758</v>
      </c>
      <c r="X140" s="51">
        <f t="shared" ca="1" si="122"/>
        <v>-38376.319433316261</v>
      </c>
      <c r="Y140" s="51">
        <f t="shared" ca="1" si="111"/>
        <v>1007103.5411578557</v>
      </c>
      <c r="Z140" s="165"/>
      <c r="AA140" s="51">
        <f t="shared" ca="1" si="112"/>
        <v>2214228.84</v>
      </c>
      <c r="AC140" s="51">
        <f t="shared" ca="1" si="113"/>
        <v>1207125.2988421442</v>
      </c>
      <c r="AD140" s="93">
        <f t="shared" ca="1" si="114"/>
        <v>0.54516736347908112</v>
      </c>
      <c r="AF140" s="75"/>
    </row>
    <row r="141" spans="2:32" s="70" customFormat="1" outlineLevel="1" x14ac:dyDescent="0.55000000000000004">
      <c r="B141" s="116" t="s">
        <v>20</v>
      </c>
      <c r="C141" s="117">
        <v>10</v>
      </c>
      <c r="E141" s="51">
        <f t="shared" si="115"/>
        <v>-300796.6209918622</v>
      </c>
      <c r="F141" s="51">
        <f t="shared" si="116"/>
        <v>-1492.8330474335364</v>
      </c>
      <c r="G141" s="51">
        <f>-(E141+F141)*($F$26="time")*IFERROR(IF($F$27="yes",D49/SUM(D49:$D$51),1/COUNT(D49:$D$51)),0)</f>
        <v>0</v>
      </c>
      <c r="H141" s="51">
        <f>-(E141+F141)*($F$26="policies IF")*IFERROR(IF(C141&lt;$F$8,IF($F$27="yes",H49/SUM(H49:$H$51),F49/SUM(F49:$F$51)),IF($F$27="yes",H72/SUM(H72:$H$74),F72/SUM(F72:$F$74))),0)</f>
        <v>0</v>
      </c>
      <c r="I141" s="51">
        <f>-(E141+F141)*($F$26="risk")*IFERROR(IF(C141&lt;$F$8,IF($F$27="yes",R49/SUM(R49:$R$51),Q49/SUM(Q49:$Q$51)),IF($F$27="yes",R72/SUM(R72:$R$74),Q72/SUM(Q72:$Q$74))),0)</f>
        <v>103932.03418328727</v>
      </c>
      <c r="J141" s="51">
        <f t="shared" si="106"/>
        <v>-198357.41985600846</v>
      </c>
      <c r="K141" s="123"/>
      <c r="L141" s="51">
        <f t="shared" ca="1" si="123"/>
        <v>2551508.9515377055</v>
      </c>
      <c r="M141" s="51">
        <f t="shared" si="117"/>
        <v>0</v>
      </c>
      <c r="N141" s="51">
        <f t="shared" ca="1" si="118"/>
        <v>12662.964334898657</v>
      </c>
      <c r="O141" s="51">
        <f ca="1">-(L141+M141+N141)*IFERROR(IF(C141&lt;$F$8,IF($F$24="yes",R49/SUM(R49:$R$52),Q49/SUM(Q49:$Q$52)),IF($F$24="yes",R72/SUM(R72:$R$74),Q72/SUM(Q72:$Q$74))),0)</f>
        <v>-881604.03762432747</v>
      </c>
      <c r="P141" s="51">
        <f t="shared" ca="1" si="107"/>
        <v>1682567.8782482767</v>
      </c>
      <c r="Q141" s="123"/>
      <c r="R141" s="51">
        <f t="shared" ca="1" si="108"/>
        <v>1007103.5411578557</v>
      </c>
      <c r="S141" s="51">
        <f t="shared" si="109"/>
        <v>0</v>
      </c>
      <c r="T141" s="51">
        <f t="shared" si="119"/>
        <v>0</v>
      </c>
      <c r="U141" s="51">
        <f t="shared" ca="1" si="110"/>
        <v>4998.185961897696</v>
      </c>
      <c r="V141" s="51">
        <f t="shared" si="120"/>
        <v>-103932.03418328727</v>
      </c>
      <c r="W141" s="51">
        <f t="shared" ca="1" si="121"/>
        <v>-881604.03762432747</v>
      </c>
      <c r="X141" s="51">
        <f t="shared" ca="1" si="122"/>
        <v>-24919.119268042676</v>
      </c>
      <c r="Y141" s="51">
        <f t="shared" ca="1" si="111"/>
        <v>1646.5360440959339</v>
      </c>
      <c r="Z141" s="165"/>
      <c r="AA141" s="51">
        <f t="shared" ca="1" si="112"/>
        <v>1447712.02</v>
      </c>
      <c r="AC141" s="51">
        <f t="shared" ca="1" si="113"/>
        <v>1446065.4839559041</v>
      </c>
      <c r="AD141" s="93">
        <f t="shared" ca="1" si="114"/>
        <v>0.9988626632773997</v>
      </c>
      <c r="AF141" s="75"/>
    </row>
    <row r="142" spans="2:32" s="70" customFormat="1" outlineLevel="1" x14ac:dyDescent="0.55000000000000004">
      <c r="B142" s="116" t="s">
        <v>21</v>
      </c>
      <c r="C142" s="117">
        <v>11</v>
      </c>
      <c r="E142" s="51">
        <f t="shared" si="115"/>
        <v>-198357.41985600846</v>
      </c>
      <c r="F142" s="51">
        <f t="shared" si="116"/>
        <v>-984.434301782631</v>
      </c>
      <c r="G142" s="51">
        <f>-(E142+F142)*($F$26="time")*IFERROR(IF($F$27="yes",D50/SUM(D50:$D$51),1/COUNT(D50:$D$51)),0)</f>
        <v>0</v>
      </c>
      <c r="H142" s="51">
        <f>-(E142+F142)*($F$26="policies IF")*IFERROR(IF(C142&lt;$F$8,IF($F$27="yes",H50/SUM(H50:$H$51),F50/SUM(F50:$F$51)),IF($F$27="yes",H73/SUM(H73:$H$74),F73/SUM(F73:$F$74))),0)</f>
        <v>0</v>
      </c>
      <c r="I142" s="51">
        <f>-(E142+F142)*($F$26="risk")*IFERROR(IF(C142&lt;$F$8,IF($F$27="yes",R50/SUM(R50:$R$51),Q50/SUM(Q50:$Q$51)),IF($F$27="yes",R73/SUM(R73:$R$74),Q73/SUM(Q73:$Q$74))),0)</f>
        <v>101230.1906681238</v>
      </c>
      <c r="J142" s="51">
        <f t="shared" si="106"/>
        <v>-98111.663489667291</v>
      </c>
      <c r="K142" s="123"/>
      <c r="L142" s="51">
        <f t="shared" ca="1" si="123"/>
        <v>1682567.8782482767</v>
      </c>
      <c r="M142" s="51">
        <f t="shared" si="117"/>
        <v>0</v>
      </c>
      <c r="N142" s="51">
        <f t="shared" ca="1" si="118"/>
        <v>8350.4692470169357</v>
      </c>
      <c r="O142" s="51">
        <f ca="1">-(L142+M142+N142)*IFERROR(IF(C142&lt;$F$8,IF($F$24="yes",R50/SUM(R50:$R$52),Q50/SUM(Q50:$Q$52)),IF($F$24="yes",R73/SUM(R73:$R$74),Q73/SUM(Q73:$Q$74))),0)</f>
        <v>-858685.63550976315</v>
      </c>
      <c r="P142" s="51">
        <f t="shared" ca="1" si="107"/>
        <v>832232.71198553033</v>
      </c>
      <c r="Q142" s="123"/>
      <c r="R142" s="51">
        <f t="shared" ca="1" si="108"/>
        <v>1646.5360440959339</v>
      </c>
      <c r="S142" s="51">
        <f t="shared" si="109"/>
        <v>0</v>
      </c>
      <c r="T142" s="51">
        <f t="shared" si="119"/>
        <v>0</v>
      </c>
      <c r="U142" s="51">
        <f t="shared" ca="1" si="110"/>
        <v>8.1716457196618304</v>
      </c>
      <c r="V142" s="51">
        <f t="shared" si="120"/>
        <v>-101230.1906681238</v>
      </c>
      <c r="W142" s="51">
        <f t="shared" ca="1" si="121"/>
        <v>-858685.63550976315</v>
      </c>
      <c r="X142" s="51">
        <f t="shared" ca="1" si="122"/>
        <v>-12135.657762346174</v>
      </c>
      <c r="Y142" s="51">
        <f t="shared" ca="1" si="111"/>
        <v>-970396.77625041758</v>
      </c>
      <c r="Z142" s="165"/>
      <c r="AA142" s="51">
        <f t="shared" ca="1" si="112"/>
        <v>709981.84</v>
      </c>
      <c r="AC142" s="51">
        <f t="shared" ca="1" si="113"/>
        <v>1680378.6162504177</v>
      </c>
      <c r="AD142" s="93">
        <f t="shared" ca="1" si="114"/>
        <v>2.3667909819361261</v>
      </c>
      <c r="AF142" s="75"/>
    </row>
    <row r="143" spans="2:32" s="70" customFormat="1" outlineLevel="1" x14ac:dyDescent="0.55000000000000004">
      <c r="B143" s="116" t="s">
        <v>22</v>
      </c>
      <c r="C143" s="117">
        <v>12</v>
      </c>
      <c r="E143" s="51">
        <f t="shared" si="115"/>
        <v>-98111.663489667291</v>
      </c>
      <c r="F143" s="51">
        <f t="shared" si="116"/>
        <v>-486.9214724324184</v>
      </c>
      <c r="G143" s="51">
        <f>-(E143+F143)*($F$26="time")*IFERROR(IF($F$27="yes",D51/SUM(D51:$D$51),1/COUNT(D51:$D$51)),0)</f>
        <v>0</v>
      </c>
      <c r="H143" s="51">
        <f>-(E143+F143)*($F$26="policies IF")*IFERROR(IF(C143&lt;$F$8,IF($F$27="yes",H51/SUM(H51:$H$51),F51/SUM(F51:$F$51)),IF($F$27="yes",H74/SUM(H74:$H$74),F74/SUM(F74:$F$74))),0)</f>
        <v>0</v>
      </c>
      <c r="I143" s="51">
        <f>-(E143+F143)*($F$26="risk")*IFERROR(IF(C143&lt;$F$8,IF($F$27="yes",R51/SUM(R51:$R$51),Q51/SUM(Q51:$Q$51)),IF($F$27="yes",R74/SUM(R74:$R$74),Q74/SUM(Q74:$Q$74))),0)</f>
        <v>98598.584962099703</v>
      </c>
      <c r="J143" s="51">
        <f t="shared" si="106"/>
        <v>0</v>
      </c>
      <c r="K143" s="123"/>
      <c r="L143" s="51">
        <f t="shared" ca="1" si="123"/>
        <v>832232.71198553033</v>
      </c>
      <c r="M143" s="51">
        <f t="shared" si="117"/>
        <v>0</v>
      </c>
      <c r="N143" s="51">
        <f t="shared" ca="1" si="118"/>
        <v>4130.3140025660314</v>
      </c>
      <c r="O143" s="51">
        <f ca="1">-(L143+M143+N143)*IFERROR(IF(C143&lt;$F$8,IF($F$24="yes",R51/SUM(R51:$R$52),Q51/SUM(Q51:$Q$52)),IF($F$24="yes",R74/SUM(R74:$R$74),Q74/SUM(Q74:$Q$74))),0)</f>
        <v>-836363.02598809637</v>
      </c>
      <c r="P143" s="51">
        <f t="shared" ca="1" si="107"/>
        <v>0</v>
      </c>
      <c r="Q143" s="123"/>
      <c r="R143" s="51">
        <f t="shared" ca="1" si="108"/>
        <v>-970396.77625041758</v>
      </c>
      <c r="S143" s="51">
        <f t="shared" si="109"/>
        <v>0</v>
      </c>
      <c r="T143" s="51">
        <f t="shared" si="119"/>
        <v>0</v>
      </c>
      <c r="U143" s="51">
        <f t="shared" ca="1" si="110"/>
        <v>-4816.0127993884016</v>
      </c>
      <c r="V143" s="51">
        <f t="shared" si="120"/>
        <v>-98598.584962099703</v>
      </c>
      <c r="W143" s="51">
        <f t="shared" ca="1" si="121"/>
        <v>-836363.02598809637</v>
      </c>
      <c r="X143" s="51">
        <f t="shared" ca="1" si="122"/>
        <v>0</v>
      </c>
      <c r="Y143" s="51">
        <f t="shared" ca="1" si="111"/>
        <v>-1910174.400000002</v>
      </c>
      <c r="Z143" s="165"/>
      <c r="AA143" s="51">
        <f t="shared" ca="1" si="112"/>
        <v>0</v>
      </c>
      <c r="AC143" s="51">
        <f t="shared" ca="1" si="113"/>
        <v>1910174.400000002</v>
      </c>
      <c r="AD143" s="93">
        <f t="shared" ca="1" si="114"/>
        <v>0</v>
      </c>
      <c r="AF143" s="75"/>
    </row>
    <row r="144" spans="2:32" s="70" customFormat="1" outlineLevel="1" x14ac:dyDescent="0.55000000000000004">
      <c r="B144" s="120"/>
      <c r="C144" s="71"/>
      <c r="E144" s="71"/>
      <c r="F144" s="71"/>
      <c r="G144" s="71"/>
      <c r="H144" s="71"/>
      <c r="I144" s="71"/>
      <c r="J144" s="71"/>
      <c r="L144" s="77"/>
      <c r="M144" s="77"/>
      <c r="N144" s="77"/>
      <c r="O144" s="77"/>
      <c r="P144" s="77"/>
      <c r="Q144" s="55"/>
      <c r="R144" s="67"/>
      <c r="S144" s="67"/>
      <c r="T144" s="67"/>
      <c r="U144" s="67"/>
      <c r="V144" s="67"/>
      <c r="W144" s="67"/>
      <c r="X144" s="67"/>
      <c r="Y144" s="67"/>
      <c r="Z144" s="165"/>
      <c r="AA144" s="121"/>
      <c r="AC144" s="67"/>
      <c r="AD144" s="69"/>
      <c r="AF144" s="75"/>
    </row>
    <row r="145" spans="2:32" s="70" customFormat="1" outlineLevel="1" x14ac:dyDescent="0.55000000000000004">
      <c r="B145" s="51"/>
      <c r="C145" s="51"/>
      <c r="I145" s="51"/>
      <c r="L145" s="51"/>
      <c r="M145" s="51"/>
      <c r="N145" s="51"/>
      <c r="O145" s="51"/>
      <c r="Q145" s="51"/>
      <c r="R145" s="51"/>
      <c r="S145" s="51"/>
      <c r="T145" s="51"/>
      <c r="U145" s="51"/>
      <c r="V145" s="51"/>
      <c r="W145" s="51"/>
      <c r="X145" s="51"/>
      <c r="Y145" s="51"/>
      <c r="Z145" s="165"/>
      <c r="AA145" s="55"/>
      <c r="AC145" s="51"/>
      <c r="AD145" s="55"/>
      <c r="AF145" s="75"/>
    </row>
    <row r="146" spans="2:32" s="70" customFormat="1" outlineLevel="1" x14ac:dyDescent="0.55000000000000004">
      <c r="B146" s="52"/>
      <c r="C146" s="52"/>
      <c r="F146" s="52">
        <f t="shared" ref="F146:O146" si="124">SUM(F132:F143)</f>
        <v>-34907.163538034394</v>
      </c>
      <c r="G146" s="52">
        <f t="shared" si="124"/>
        <v>0</v>
      </c>
      <c r="H146" s="52">
        <f t="shared" si="124"/>
        <v>0</v>
      </c>
      <c r="I146" s="52">
        <f t="shared" si="124"/>
        <v>934907.16353803442</v>
      </c>
      <c r="J146" s="52"/>
      <c r="K146" s="52"/>
      <c r="L146" s="52"/>
      <c r="M146" s="52">
        <f t="shared" ca="1" si="124"/>
        <v>618097.77679407992</v>
      </c>
      <c r="N146" s="52">
        <f t="shared" ca="1" si="124"/>
        <v>271539.91105313075</v>
      </c>
      <c r="O146" s="52">
        <f t="shared" ca="1" si="124"/>
        <v>-7615978.6620199401</v>
      </c>
      <c r="P146" s="52"/>
      <c r="Q146" s="52"/>
      <c r="R146" s="52"/>
      <c r="S146" s="52">
        <f t="shared" ref="S146:X146" si="125">SUM(S132:S143)</f>
        <v>7830000</v>
      </c>
      <c r="T146" s="52">
        <f t="shared" si="125"/>
        <v>-900000</v>
      </c>
      <c r="U146" s="52">
        <f t="shared" ca="1" si="125"/>
        <v>79340.75325849076</v>
      </c>
      <c r="V146" s="52">
        <f t="shared" si="125"/>
        <v>-934907.16353803442</v>
      </c>
      <c r="W146" s="52">
        <f t="shared" ca="1" si="125"/>
        <v>-7615978.6620199401</v>
      </c>
      <c r="X146" s="52">
        <f t="shared" ca="1" si="125"/>
        <v>-368629.32770051813</v>
      </c>
      <c r="Y146" s="52"/>
      <c r="Z146" s="52"/>
      <c r="AB146" s="122" t="s">
        <v>148</v>
      </c>
      <c r="AC146" s="52">
        <f ca="1">AVERAGE(AC132:AC143)</f>
        <v>1065788.6784214005</v>
      </c>
      <c r="AD146" s="74">
        <f ca="1">AVERAGE(AD132:AD143)</f>
        <v>0.6950414573609166</v>
      </c>
      <c r="AF146" s="75"/>
    </row>
    <row r="147" spans="2:32" s="70" customFormat="1" x14ac:dyDescent="0.55000000000000004">
      <c r="B147" s="51"/>
      <c r="C147" s="51"/>
      <c r="D147" s="51"/>
      <c r="E147" s="51"/>
      <c r="F147" s="51"/>
      <c r="G147" s="51"/>
      <c r="H147" s="51"/>
      <c r="I147" s="51"/>
      <c r="J147" s="51"/>
      <c r="K147" s="51"/>
      <c r="L147" s="51"/>
      <c r="M147" s="52"/>
      <c r="N147" s="52"/>
      <c r="O147" s="52"/>
      <c r="P147" s="52"/>
      <c r="Q147" s="52"/>
      <c r="R147" s="52"/>
      <c r="S147" s="52"/>
      <c r="T147" s="52"/>
      <c r="U147" s="52"/>
      <c r="V147" s="51"/>
      <c r="AF147" s="75"/>
    </row>
    <row r="148" spans="2:32" s="70" customFormat="1" x14ac:dyDescent="0.55000000000000004">
      <c r="B148" s="51"/>
      <c r="C148" s="51"/>
      <c r="D148" s="51"/>
      <c r="E148" s="51"/>
      <c r="F148" s="51"/>
      <c r="G148" s="51"/>
      <c r="H148" s="51"/>
      <c r="I148" s="51"/>
      <c r="J148" s="51"/>
      <c r="K148" s="51"/>
      <c r="L148" s="51"/>
      <c r="M148" s="52"/>
      <c r="N148" s="52"/>
      <c r="O148" s="52"/>
      <c r="P148" s="52"/>
      <c r="Q148" s="52"/>
      <c r="R148" s="52"/>
      <c r="S148" s="52"/>
      <c r="T148" s="52"/>
      <c r="U148" s="52"/>
      <c r="V148" s="51"/>
      <c r="AF148" s="75"/>
    </row>
    <row r="149" spans="2:32" x14ac:dyDescent="0.55000000000000004">
      <c r="D149" s="55"/>
    </row>
    <row r="150" spans="2:32" x14ac:dyDescent="0.55000000000000004">
      <c r="D150" s="51"/>
    </row>
    <row r="151" spans="2:32" x14ac:dyDescent="0.55000000000000004">
      <c r="D151" s="51"/>
    </row>
    <row r="152" spans="2:32" x14ac:dyDescent="0.55000000000000004">
      <c r="D152" s="51"/>
      <c r="E152" s="55"/>
      <c r="F152" s="55"/>
      <c r="G152" s="55"/>
      <c r="H152" s="70"/>
      <c r="I152" s="70"/>
      <c r="J152" s="70"/>
      <c r="K152" s="70"/>
    </row>
  </sheetData>
  <sheetProtection algorithmName="SHA-512" hashValue="jA9YIxNKPyWvn40uQ8w1WL8syofq7qsvSRURL0H0PwzQ7qZc8Wump1pPhrZF3A28odUMlhx1tnqVBil4KoXpmg==" saltValue="aCduljVPKX8BRBIZApNx9Q==" spinCount="100000" sheet="1" objects="1" scenarios="1"/>
  <protectedRanges>
    <protectedRange sqref="J63:J74 O63:O74 T63:T74" name="Range8"/>
    <protectedRange sqref="F21:F29" name="Range6"/>
    <protectedRange sqref="G14" name="Range4"/>
    <protectedRange sqref="F11:F14" name="Range2"/>
    <protectedRange sqref="F8" name="Range1"/>
    <protectedRange sqref="G11:G12" name="Range3"/>
    <protectedRange sqref="F17:G19" name="Range5"/>
    <protectedRange sqref="J40:J51 O40:O51 T40:T51" name="Range7"/>
  </protectedRanges>
  <mergeCells count="39">
    <mergeCell ref="AQ59:AS59"/>
    <mergeCell ref="AQ82:AS82"/>
    <mergeCell ref="AE105:AK105"/>
    <mergeCell ref="E128:J128"/>
    <mergeCell ref="AK36:AL36"/>
    <mergeCell ref="AK59:AL59"/>
    <mergeCell ref="AK82:AL82"/>
    <mergeCell ref="AN36:AO36"/>
    <mergeCell ref="W36:AB36"/>
    <mergeCell ref="AD36:AI36"/>
    <mergeCell ref="O36:R36"/>
    <mergeCell ref="O59:R59"/>
    <mergeCell ref="T36:U36"/>
    <mergeCell ref="T59:U59"/>
    <mergeCell ref="T82:U82"/>
    <mergeCell ref="W105:AC105"/>
    <mergeCell ref="B128:C128"/>
    <mergeCell ref="AN59:AO59"/>
    <mergeCell ref="AN82:AO82"/>
    <mergeCell ref="AD59:AI59"/>
    <mergeCell ref="AD82:AI82"/>
    <mergeCell ref="W59:AB59"/>
    <mergeCell ref="L128:P128"/>
    <mergeCell ref="AC128:AD128"/>
    <mergeCell ref="O82:R82"/>
    <mergeCell ref="W82:AB82"/>
    <mergeCell ref="O105:U105"/>
    <mergeCell ref="R128:Y128"/>
    <mergeCell ref="B36:D36"/>
    <mergeCell ref="F36:H36"/>
    <mergeCell ref="J36:M36"/>
    <mergeCell ref="B105:C105"/>
    <mergeCell ref="F82:H82"/>
    <mergeCell ref="J82:M82"/>
    <mergeCell ref="B82:D82"/>
    <mergeCell ref="E105:M105"/>
    <mergeCell ref="B59:D59"/>
    <mergeCell ref="F59:H59"/>
    <mergeCell ref="J59:M59"/>
  </mergeCells>
  <dataValidations count="14">
    <dataValidation type="list" allowBlank="1" showInputMessage="1" showErrorMessage="1" sqref="F22" xr:uid="{F0886526-0602-4558-8163-0C9E38BA6CCA}">
      <formula1>"single,annual,semi-ann,quarterly,pattern"</formula1>
    </dataValidation>
    <dataValidation type="decimal" operator="greaterThanOrEqual" allowBlank="1" showInputMessage="1" showErrorMessage="1" error="Expense ratio cannot be negative" sqref="F12:G12" xr:uid="{3441444B-D3CB-46C9-B05B-4A6D64B261FF}">
      <formula1>0</formula1>
    </dataValidation>
    <dataValidation type="decimal" operator="greaterThanOrEqual" allowBlank="1" showInputMessage="1" showErrorMessage="1" error="Acquisition cost ratio cannot be negative" sqref="G13" xr:uid="{104D7211-6FC9-483B-A60A-AFCD980DD360}">
      <formula1>0</formula1>
    </dataValidation>
    <dataValidation type="decimal" operator="greaterThanOrEqual" allowBlank="1" showInputMessage="1" showErrorMessage="1" error="Risk adjustment percentage cannot be negative" sqref="F14:G14" xr:uid="{AD1DC605-6489-46EE-A88D-82AAE240F9DA}">
      <formula1>0</formula1>
    </dataValidation>
    <dataValidation type="decimal" operator="greaterThan" allowBlank="1" showInputMessage="1" showErrorMessage="1" error="Total premiums have to be greater than zero" sqref="F21" xr:uid="{453520C3-30A2-4512-AF07-4C1D2432AEC0}">
      <formula1>0</formula1>
    </dataValidation>
    <dataValidation type="decimal" operator="greaterThanOrEqual" allowBlank="1" showInputMessage="1" showErrorMessage="1" error="Discount rate cannot be negative" sqref="F17:G18" xr:uid="{D6A7CCC9-A61E-4B45-9322-09E28EB9AF53}">
      <formula1>0</formula1>
    </dataValidation>
    <dataValidation type="decimal" operator="greaterThan" allowBlank="1" showInputMessage="1" showErrorMessage="1" error="Risk distribution weights have to be greater than zero" sqref="P63:Q74 P86:Q97 P40:Q51 U40:U54 U63:U77 U86:U97" xr:uid="{0F773037-0828-4024-84C4-5CE9FC4B7896}">
      <formula1>0</formula1>
    </dataValidation>
    <dataValidation type="decimal" operator="greaterThan" allowBlank="1" showInputMessage="1" showErrorMessage="1" error="Coverage units have to be greater than zero" sqref="J63:M74 J86:M97 O63:O74 T86:T97 O86:O97 J40:M51 T40:T54 T63:T77 O40:O51" xr:uid="{CB420328-BE10-4BFB-B0D6-D7470911B094}">
      <formula1>0</formula1>
    </dataValidation>
    <dataValidation type="list" operator="greaterThanOrEqual" allowBlank="1" showInputMessage="1" showErrorMessage="1" error="Discount rate cannot be negative" sqref="F23:F25 F27 F29" xr:uid="{F638DFEC-0BEA-4D39-A0CB-6FB1D706B5EE}">
      <formula1>"yes, no"</formula1>
    </dataValidation>
    <dataValidation type="list" operator="greaterThanOrEqual" allowBlank="1" showInputMessage="1" showErrorMessage="1" error="Discount rate cannot be negative" sqref="F26" xr:uid="{E419EB8F-6DEB-4E05-8558-53151E189006}">
      <formula1>"time, policies IF, risk, immediate"</formula1>
    </dataValidation>
    <dataValidation type="decimal" allowBlank="1" showInputMessage="1" showErrorMessage="1" error="Lapsre ratio should be between 0 and 100%" sqref="F19:G19" xr:uid="{366367E7-EA0A-49CF-B58C-9BFB5213E043}">
      <formula1>0</formula1>
      <formula2>1</formula2>
    </dataValidation>
    <dataValidation type="list" allowBlank="1" showInputMessage="1" showErrorMessage="1" sqref="F8" xr:uid="{F0B09042-9F1A-4933-89EE-50143EA37FF5}">
      <formula1>$C$40:$C$51</formula1>
    </dataValidation>
    <dataValidation type="decimal" operator="greaterThanOrEqual" allowBlank="1" showInputMessage="1" showErrorMessage="1" error="Claims ratio cannot be negative" sqref="F11:G11" xr:uid="{5BACD28C-EAA5-489A-B3DA-6EF60DDBCD9D}">
      <formula1>0</formula1>
    </dataValidation>
    <dataValidation type="list" operator="greaterThanOrEqual" allowBlank="1" showInputMessage="1" showErrorMessage="1" error="Discount rate cannot be negative" sqref="F28" xr:uid="{9F4AD10E-12EF-4444-B961-F3F951A2FD69}">
      <formula1>"time, policies IF, risk"</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C8458-0D19-4657-822C-18D73861BB5C}">
  <sheetPr>
    <tabColor theme="4" tint="-0.249977111117893"/>
  </sheetPr>
  <dimension ref="A5:BK173"/>
  <sheetViews>
    <sheetView showGridLines="0" zoomScale="70" zoomScaleNormal="70" workbookViewId="0">
      <pane ySplit="3" topLeftCell="A4" activePane="bottomLeft" state="frozen"/>
      <selection pane="bottomLeft" activeCell="A32" sqref="A32"/>
    </sheetView>
  </sheetViews>
  <sheetFormatPr defaultRowHeight="14.4" outlineLevelRow="1" x14ac:dyDescent="0.55000000000000004"/>
  <cols>
    <col min="1" max="1" width="5.578125" customWidth="1"/>
    <col min="2" max="32" width="12.68359375" customWidth="1"/>
    <col min="33" max="33" width="12.68359375" style="11" customWidth="1"/>
    <col min="34" max="45" width="12.68359375" customWidth="1"/>
    <col min="46" max="67" width="9.15625" customWidth="1"/>
  </cols>
  <sheetData>
    <row r="5" spans="2:63" ht="18.3" x14ac:dyDescent="0.7">
      <c r="B5" s="2"/>
      <c r="C5" s="2"/>
      <c r="D5" s="2"/>
      <c r="E5" s="2"/>
      <c r="F5" s="2"/>
      <c r="G5" s="2"/>
      <c r="H5" s="2"/>
      <c r="I5" s="2"/>
      <c r="J5" s="2"/>
      <c r="K5" s="96"/>
      <c r="L5" s="2"/>
      <c r="M5" s="2"/>
      <c r="N5" s="2"/>
      <c r="O5" s="2"/>
      <c r="P5" s="2"/>
      <c r="Q5" s="2"/>
      <c r="R5" s="2"/>
      <c r="S5" s="2"/>
      <c r="T5" s="2"/>
      <c r="U5" s="2"/>
      <c r="V5" s="2"/>
      <c r="W5" s="2"/>
      <c r="X5" s="2"/>
      <c r="Y5" s="2"/>
      <c r="Z5" s="2"/>
      <c r="AA5" s="127"/>
      <c r="AB5" s="127"/>
      <c r="AC5" s="127"/>
      <c r="AD5" s="127"/>
      <c r="AE5" s="127"/>
      <c r="AF5" s="127"/>
      <c r="AG5" s="127"/>
      <c r="AH5" s="127"/>
      <c r="AI5" s="127"/>
      <c r="AJ5" s="127"/>
      <c r="AK5" s="127"/>
      <c r="AL5" s="127"/>
      <c r="AM5" s="127"/>
      <c r="AN5" s="127"/>
      <c r="AO5" s="2"/>
      <c r="AP5" s="2"/>
      <c r="AQ5" s="2"/>
      <c r="AR5" s="2"/>
      <c r="AS5" s="2"/>
      <c r="AT5" s="2"/>
      <c r="AU5" s="2"/>
      <c r="AV5" s="2"/>
      <c r="AW5" s="2"/>
      <c r="AX5" s="2"/>
      <c r="AY5" s="2"/>
      <c r="AZ5" s="2"/>
      <c r="BA5" s="2"/>
      <c r="BB5" s="2"/>
      <c r="BC5" s="2"/>
      <c r="BD5" s="2"/>
      <c r="BE5" s="2"/>
      <c r="BF5" s="2"/>
      <c r="BG5" s="2"/>
      <c r="BH5" s="2"/>
      <c r="BI5" s="2"/>
      <c r="BJ5" s="2"/>
      <c r="BK5" s="2"/>
    </row>
    <row r="6" spans="2:63" x14ac:dyDescent="0.55000000000000004">
      <c r="B6" s="2"/>
      <c r="C6" s="2"/>
      <c r="D6" s="2"/>
      <c r="E6" s="2"/>
      <c r="F6" s="2"/>
      <c r="G6" s="2"/>
      <c r="H6" s="2"/>
      <c r="I6" s="2"/>
      <c r="J6" s="2"/>
      <c r="K6" s="2"/>
      <c r="L6" s="2"/>
      <c r="M6" s="2"/>
      <c r="N6" s="2"/>
      <c r="O6" s="2"/>
      <c r="P6" s="2"/>
      <c r="Q6" s="2"/>
      <c r="R6" s="2"/>
      <c r="S6" s="2"/>
      <c r="T6" s="2"/>
      <c r="U6" s="2"/>
      <c r="V6" s="2"/>
      <c r="W6" s="2"/>
      <c r="X6" s="2"/>
      <c r="Y6" s="2"/>
      <c r="Z6" s="2"/>
      <c r="AA6" s="127"/>
      <c r="AB6" s="127"/>
      <c r="AC6" s="127"/>
      <c r="AD6" s="127"/>
      <c r="AE6" s="127"/>
      <c r="AF6" s="127"/>
      <c r="AG6" s="127"/>
      <c r="AH6" s="127"/>
      <c r="AI6" s="127"/>
      <c r="AJ6" s="127"/>
      <c r="AK6" s="127"/>
      <c r="AL6" s="127"/>
      <c r="AM6" s="127"/>
      <c r="AN6" s="127"/>
      <c r="AO6" s="2"/>
      <c r="AP6" s="2"/>
      <c r="AQ6" s="2"/>
      <c r="AR6" s="2"/>
      <c r="AS6" s="2"/>
      <c r="AT6" s="2"/>
      <c r="AU6" s="2"/>
      <c r="AV6" s="2"/>
      <c r="AW6" s="2"/>
      <c r="AX6" s="2"/>
      <c r="AY6" s="2"/>
      <c r="AZ6" s="2"/>
      <c r="BA6" s="2"/>
      <c r="BB6" s="2"/>
      <c r="BC6" s="2"/>
      <c r="BD6" s="2"/>
      <c r="BE6" s="2"/>
      <c r="BF6" s="2"/>
      <c r="BG6" s="2"/>
      <c r="BH6" s="2"/>
      <c r="BI6" s="2"/>
      <c r="BJ6" s="2"/>
      <c r="BK6" s="2"/>
    </row>
    <row r="7" spans="2:63" x14ac:dyDescent="0.55000000000000004">
      <c r="B7" s="140" t="s">
        <v>155</v>
      </c>
      <c r="C7" s="2"/>
      <c r="D7" s="2"/>
      <c r="E7" s="2"/>
      <c r="F7" s="106">
        <v>4</v>
      </c>
      <c r="G7" s="106"/>
      <c r="H7" s="2"/>
      <c r="I7" s="2"/>
      <c r="J7" s="2"/>
      <c r="K7" s="2"/>
      <c r="L7" s="2"/>
      <c r="M7" s="2"/>
      <c r="N7" s="2"/>
      <c r="O7" s="2"/>
      <c r="P7" s="2"/>
      <c r="Q7" s="2"/>
      <c r="R7" s="2"/>
      <c r="S7" s="2"/>
      <c r="T7" s="2"/>
      <c r="U7" s="2"/>
      <c r="V7" s="2"/>
      <c r="W7" s="2"/>
      <c r="X7" s="2"/>
      <c r="Y7" s="2"/>
      <c r="Z7" s="2"/>
      <c r="AA7" s="127"/>
      <c r="AB7" s="127"/>
      <c r="AC7" s="127"/>
      <c r="AD7" s="127"/>
      <c r="AE7" s="127"/>
      <c r="AF7" s="127"/>
      <c r="AG7" s="127"/>
      <c r="AH7" s="127"/>
      <c r="AI7" s="127"/>
      <c r="AJ7" s="127"/>
      <c r="AK7" s="127"/>
      <c r="AL7" s="127"/>
      <c r="AM7" s="127"/>
      <c r="AN7" s="127"/>
      <c r="AO7" s="2"/>
      <c r="AP7" s="2"/>
      <c r="AQ7" s="2"/>
      <c r="AR7" s="2"/>
      <c r="AS7" s="2"/>
      <c r="AT7" s="2"/>
      <c r="AU7" s="2"/>
      <c r="AV7" s="2"/>
      <c r="AW7" s="2"/>
      <c r="AX7" s="2"/>
      <c r="AY7" s="2"/>
      <c r="AZ7" s="2"/>
      <c r="BA7" s="2"/>
      <c r="BB7" s="2"/>
      <c r="BC7" s="2"/>
      <c r="BD7" s="2"/>
      <c r="BE7" s="2"/>
      <c r="BF7" s="2"/>
      <c r="BG7" s="2"/>
      <c r="BH7" s="2"/>
      <c r="BI7" s="2"/>
      <c r="BJ7" s="2"/>
      <c r="BK7" s="2"/>
    </row>
    <row r="8" spans="2:63" x14ac:dyDescent="0.55000000000000004">
      <c r="B8" s="140" t="s">
        <v>162</v>
      </c>
      <c r="C8" s="2"/>
      <c r="D8" s="2"/>
      <c r="E8" s="2"/>
      <c r="F8" s="131">
        <v>7</v>
      </c>
      <c r="G8" s="106"/>
      <c r="H8" s="2"/>
      <c r="I8" s="2"/>
      <c r="J8" s="2"/>
      <c r="K8" s="2"/>
      <c r="L8" s="2"/>
      <c r="M8" s="2"/>
      <c r="N8" s="2"/>
      <c r="O8" s="2"/>
      <c r="P8" s="2"/>
      <c r="Q8" s="2"/>
      <c r="R8" s="2"/>
      <c r="S8" s="2"/>
      <c r="T8" s="2"/>
      <c r="U8" s="2"/>
      <c r="V8" s="2"/>
      <c r="W8" s="2"/>
      <c r="X8" s="2"/>
      <c r="Y8" s="2"/>
      <c r="Z8" s="2"/>
      <c r="AA8" s="127"/>
      <c r="AB8" s="127"/>
      <c r="AC8" s="127"/>
      <c r="AD8" s="127"/>
      <c r="AE8" s="127"/>
      <c r="AF8" s="127"/>
      <c r="AG8" s="127"/>
      <c r="AH8" s="127"/>
      <c r="AI8" s="127"/>
      <c r="AJ8" s="127"/>
      <c r="AK8" s="127"/>
      <c r="AL8" s="127"/>
      <c r="AM8" s="127"/>
      <c r="AN8" s="127"/>
      <c r="AO8" s="2"/>
      <c r="AP8" s="2"/>
      <c r="AQ8" s="2"/>
      <c r="AR8" s="2"/>
      <c r="AS8" s="2"/>
      <c r="AT8" s="2"/>
      <c r="AU8" s="2"/>
      <c r="AV8" s="2"/>
      <c r="AW8" s="2"/>
      <c r="AX8" s="2"/>
      <c r="AY8" s="2"/>
      <c r="AZ8" s="2"/>
      <c r="BA8" s="2"/>
      <c r="BB8" s="2"/>
      <c r="BC8" s="2"/>
      <c r="BD8" s="2"/>
      <c r="BE8" s="2"/>
      <c r="BF8" s="2"/>
      <c r="BG8" s="2"/>
      <c r="BH8" s="2"/>
      <c r="BI8" s="2"/>
      <c r="BJ8" s="2"/>
      <c r="BK8" s="2"/>
    </row>
    <row r="9" spans="2:63" x14ac:dyDescent="0.55000000000000004">
      <c r="B9" s="141"/>
      <c r="C9" s="2"/>
      <c r="D9" s="2"/>
      <c r="E9" s="2"/>
      <c r="F9" s="2"/>
      <c r="G9" s="2"/>
      <c r="H9" s="2"/>
      <c r="I9" s="2"/>
      <c r="J9" s="2"/>
      <c r="K9" s="2"/>
      <c r="L9" s="2"/>
      <c r="M9" s="2"/>
      <c r="N9" s="2"/>
      <c r="O9" s="2"/>
      <c r="P9" s="2"/>
      <c r="Q9" s="2"/>
      <c r="R9" s="2"/>
      <c r="S9" s="2"/>
      <c r="T9" s="2"/>
      <c r="U9" s="2"/>
      <c r="V9" s="2"/>
      <c r="W9" s="2"/>
      <c r="X9" s="2"/>
      <c r="Y9" s="2"/>
      <c r="Z9" s="2"/>
      <c r="AA9" s="127"/>
      <c r="AB9" s="127"/>
      <c r="AC9" s="127"/>
      <c r="AD9" s="127"/>
      <c r="AE9" s="127"/>
      <c r="AF9" s="127"/>
      <c r="AG9" s="127"/>
      <c r="AH9" s="127"/>
      <c r="AI9" s="127"/>
      <c r="AJ9" s="127"/>
      <c r="AK9" s="127"/>
      <c r="AL9" s="127"/>
      <c r="AM9" s="127"/>
      <c r="AN9" s="127"/>
      <c r="AO9" s="2"/>
      <c r="AP9" s="2"/>
      <c r="AQ9" s="2"/>
      <c r="AR9" s="2"/>
      <c r="AS9" s="2"/>
      <c r="AT9" s="2"/>
      <c r="AU9" s="2"/>
      <c r="AV9" s="2"/>
      <c r="AW9" s="2"/>
      <c r="AX9" s="2"/>
      <c r="AY9" s="2"/>
      <c r="AZ9" s="2"/>
      <c r="BA9" s="2"/>
      <c r="BB9" s="2"/>
      <c r="BC9" s="2"/>
      <c r="BD9" s="2"/>
      <c r="BE9" s="2"/>
      <c r="BF9" s="2"/>
      <c r="BG9" s="2"/>
      <c r="BH9" s="2"/>
      <c r="BI9" s="2"/>
      <c r="BJ9" s="2"/>
      <c r="BK9" s="2"/>
    </row>
    <row r="10" spans="2:63" ht="14.5" customHeight="1" x14ac:dyDescent="0.55000000000000004">
      <c r="B10" s="141"/>
      <c r="C10" s="2"/>
      <c r="D10" s="2"/>
      <c r="E10" s="2"/>
      <c r="F10" s="139" t="s">
        <v>156</v>
      </c>
      <c r="G10" s="139" t="s">
        <v>157</v>
      </c>
      <c r="I10" s="2"/>
      <c r="J10" s="2"/>
      <c r="K10" s="2"/>
      <c r="L10" s="2"/>
      <c r="M10" s="2"/>
      <c r="N10" s="2"/>
      <c r="O10" s="2"/>
      <c r="P10" s="2"/>
      <c r="Q10" s="2"/>
      <c r="R10" s="2"/>
      <c r="S10" s="2"/>
      <c r="T10" s="2"/>
      <c r="U10" s="2"/>
      <c r="V10" s="2"/>
      <c r="W10" s="2"/>
      <c r="X10" s="2"/>
      <c r="Y10" s="2"/>
      <c r="Z10" s="2"/>
      <c r="AA10" s="127"/>
      <c r="AB10" s="127"/>
      <c r="AC10" s="127"/>
      <c r="AD10" s="127"/>
      <c r="AE10" s="127"/>
      <c r="AF10" s="127"/>
      <c r="AG10" s="127"/>
      <c r="AH10" s="127"/>
      <c r="AI10" s="127"/>
      <c r="AJ10" s="127"/>
      <c r="AK10" s="127"/>
      <c r="AL10" s="127"/>
      <c r="AM10" s="127"/>
      <c r="AN10" s="127"/>
      <c r="AO10" s="2"/>
      <c r="AP10" s="2"/>
      <c r="AQ10" s="2"/>
      <c r="AR10" s="2"/>
      <c r="AS10" s="2"/>
      <c r="AT10" s="2"/>
      <c r="AU10" s="2"/>
      <c r="AV10" s="2"/>
      <c r="AW10" s="2"/>
      <c r="AX10" s="2"/>
      <c r="AY10" s="2"/>
      <c r="AZ10" s="2"/>
      <c r="BA10" s="2"/>
      <c r="BB10" s="2"/>
      <c r="BC10" s="2"/>
      <c r="BD10" s="2"/>
      <c r="BE10" s="2"/>
      <c r="BF10" s="2"/>
      <c r="BG10" s="2"/>
      <c r="BH10" s="2"/>
      <c r="BI10" s="2"/>
      <c r="BJ10" s="2"/>
      <c r="BK10" s="2"/>
    </row>
    <row r="11" spans="2:63" x14ac:dyDescent="0.55000000000000004">
      <c r="B11" s="140" t="s">
        <v>413</v>
      </c>
      <c r="C11" s="2"/>
      <c r="D11" s="2"/>
      <c r="E11" s="2"/>
      <c r="F11" s="132">
        <v>0.6</v>
      </c>
      <c r="G11" s="132">
        <v>0.5</v>
      </c>
      <c r="N11" s="2"/>
      <c r="O11" s="2"/>
      <c r="P11" s="2"/>
      <c r="Q11" s="2"/>
      <c r="S11" s="2"/>
      <c r="T11" s="2"/>
      <c r="U11" s="2"/>
      <c r="V11" s="2"/>
      <c r="W11" s="2"/>
      <c r="X11" s="2"/>
      <c r="Y11" s="2"/>
      <c r="Z11" s="2"/>
      <c r="AA11" s="127"/>
      <c r="AB11" s="127"/>
      <c r="AC11" s="127"/>
      <c r="AD11" s="127"/>
      <c r="AE11" s="127"/>
      <c r="AF11" s="127"/>
      <c r="AG11" s="127"/>
      <c r="AH11" s="127"/>
      <c r="AI11" s="127"/>
      <c r="AJ11" s="127"/>
      <c r="AK11" s="127"/>
      <c r="AL11" s="127"/>
      <c r="AM11" s="127"/>
      <c r="AN11" s="127"/>
      <c r="AO11" s="2"/>
      <c r="AP11" s="2"/>
      <c r="AQ11" s="2"/>
      <c r="AR11" s="2"/>
      <c r="AS11" s="2"/>
      <c r="AT11" s="2"/>
      <c r="AU11" s="2"/>
      <c r="AV11" s="2"/>
      <c r="AW11" s="2"/>
      <c r="AX11" s="2"/>
      <c r="AY11" s="2"/>
      <c r="AZ11" s="2"/>
      <c r="BA11" s="2"/>
      <c r="BB11" s="2"/>
      <c r="BC11" s="2"/>
      <c r="BD11" s="2"/>
      <c r="BE11" s="2"/>
      <c r="BF11" s="2"/>
      <c r="BG11" s="2"/>
      <c r="BH11" s="2"/>
      <c r="BI11" s="2"/>
      <c r="BJ11" s="2"/>
      <c r="BK11" s="2"/>
    </row>
    <row r="12" spans="2:63" x14ac:dyDescent="0.55000000000000004">
      <c r="B12" s="140" t="s">
        <v>160</v>
      </c>
      <c r="C12" s="2"/>
      <c r="D12" s="2"/>
      <c r="E12" s="2"/>
      <c r="F12" s="132">
        <v>0.15</v>
      </c>
      <c r="G12" s="132">
        <v>0.1</v>
      </c>
      <c r="N12" s="2"/>
      <c r="O12" s="2"/>
      <c r="P12" s="2"/>
      <c r="Q12" s="2"/>
      <c r="S12" s="2"/>
      <c r="T12" s="2"/>
      <c r="U12" s="2"/>
      <c r="V12" s="2"/>
      <c r="W12" s="2"/>
      <c r="X12" s="2"/>
      <c r="Y12" s="2"/>
      <c r="Z12" s="2"/>
      <c r="AA12" s="127"/>
      <c r="AB12" s="127"/>
      <c r="AC12" s="127"/>
      <c r="AD12" s="127"/>
      <c r="AE12" s="127"/>
      <c r="AF12" s="127"/>
      <c r="AG12" s="127"/>
      <c r="AH12" s="127"/>
      <c r="AI12" s="127"/>
      <c r="AJ12" s="127"/>
      <c r="AK12" s="127"/>
      <c r="AL12" s="127"/>
      <c r="AM12" s="127"/>
      <c r="AN12" s="127"/>
      <c r="AO12" s="2"/>
      <c r="AP12" s="2"/>
      <c r="AQ12" s="2"/>
      <c r="AR12" s="2"/>
      <c r="AS12" s="2"/>
      <c r="AT12" s="2"/>
      <c r="AU12" s="2"/>
      <c r="AV12" s="2"/>
      <c r="AW12" s="2"/>
      <c r="AX12" s="2"/>
      <c r="AY12" s="2"/>
      <c r="AZ12" s="2"/>
      <c r="BA12" s="2"/>
      <c r="BB12" s="2"/>
      <c r="BC12" s="2"/>
      <c r="BD12" s="2"/>
      <c r="BE12" s="2"/>
      <c r="BF12" s="2"/>
      <c r="BG12" s="2"/>
      <c r="BH12" s="2"/>
      <c r="BI12" s="2"/>
      <c r="BJ12" s="2"/>
      <c r="BK12" s="2"/>
    </row>
    <row r="13" spans="2:63" x14ac:dyDescent="0.55000000000000004">
      <c r="B13" s="140" t="s">
        <v>433</v>
      </c>
      <c r="C13" s="2"/>
      <c r="D13" s="2"/>
      <c r="E13" s="2"/>
      <c r="F13" s="132">
        <v>0.1</v>
      </c>
      <c r="G13" s="110">
        <f>F13</f>
        <v>0.1</v>
      </c>
      <c r="N13" s="2"/>
      <c r="O13" s="2"/>
      <c r="P13" s="2"/>
      <c r="Q13" s="2"/>
      <c r="S13" s="2"/>
      <c r="T13" s="2"/>
      <c r="U13" s="2"/>
      <c r="V13" s="2"/>
      <c r="W13" s="2"/>
      <c r="X13" s="2"/>
      <c r="Y13" s="2"/>
      <c r="Z13" s="2"/>
      <c r="AA13" s="127"/>
      <c r="AB13" s="127"/>
      <c r="AC13" s="127"/>
      <c r="AD13" s="127"/>
      <c r="AE13" s="127"/>
      <c r="AF13" s="127"/>
      <c r="AG13" s="127"/>
      <c r="AH13" s="127"/>
      <c r="AI13" s="127"/>
      <c r="AJ13" s="127"/>
      <c r="AK13" s="127"/>
      <c r="AL13" s="127"/>
      <c r="AM13" s="127"/>
      <c r="AN13" s="127"/>
      <c r="AO13" s="2"/>
      <c r="AP13" s="2"/>
      <c r="AQ13" s="2"/>
      <c r="AR13" s="2"/>
      <c r="AS13" s="2"/>
      <c r="AT13" s="2"/>
      <c r="AU13" s="2"/>
      <c r="AV13" s="2"/>
      <c r="AW13" s="2"/>
      <c r="AX13" s="2"/>
      <c r="AY13" s="2"/>
      <c r="AZ13" s="2"/>
      <c r="BA13" s="2"/>
      <c r="BB13" s="2"/>
      <c r="BC13" s="2"/>
      <c r="BD13" s="2"/>
      <c r="BE13" s="2"/>
      <c r="BF13" s="2"/>
      <c r="BG13" s="2"/>
      <c r="BH13" s="2"/>
      <c r="BI13" s="2"/>
      <c r="BJ13" s="2"/>
      <c r="BK13" s="2"/>
    </row>
    <row r="14" spans="2:63" x14ac:dyDescent="0.55000000000000004">
      <c r="B14" s="140" t="s">
        <v>379</v>
      </c>
      <c r="C14" s="2"/>
      <c r="D14" s="2"/>
      <c r="E14" s="2"/>
      <c r="F14" s="132">
        <v>0.05</v>
      </c>
      <c r="G14" s="132">
        <v>0.03</v>
      </c>
      <c r="N14" s="2"/>
      <c r="O14" s="2"/>
      <c r="P14" s="2"/>
      <c r="Q14" s="2"/>
      <c r="S14" s="2"/>
      <c r="T14" s="2"/>
      <c r="U14" s="2"/>
      <c r="V14" s="2"/>
      <c r="W14" s="2"/>
      <c r="X14" s="2"/>
      <c r="Y14" s="2"/>
      <c r="Z14" s="2"/>
      <c r="AA14" s="127"/>
      <c r="AB14" s="127"/>
      <c r="AC14" s="127"/>
      <c r="AD14" s="127"/>
      <c r="AE14" s="127"/>
      <c r="AF14" s="127"/>
      <c r="AG14" s="127"/>
      <c r="AH14" s="127"/>
      <c r="AI14" s="127"/>
      <c r="AJ14" s="127"/>
      <c r="AK14" s="127"/>
      <c r="AL14" s="127"/>
      <c r="AM14" s="127"/>
      <c r="AN14" s="127"/>
      <c r="AO14" s="2"/>
      <c r="AP14" s="2"/>
      <c r="AQ14" s="2"/>
      <c r="AR14" s="2"/>
      <c r="AS14" s="2"/>
      <c r="AT14" s="2"/>
      <c r="AU14" s="2"/>
      <c r="AV14" s="2"/>
      <c r="AW14" s="2"/>
      <c r="AX14" s="2"/>
      <c r="AY14" s="2"/>
      <c r="AZ14" s="2"/>
      <c r="BA14" s="2"/>
      <c r="BB14" s="2"/>
      <c r="BC14" s="2"/>
      <c r="BD14" s="2"/>
      <c r="BE14" s="2"/>
      <c r="BF14" s="2"/>
      <c r="BG14" s="2"/>
      <c r="BH14" s="2"/>
      <c r="BI14" s="2"/>
      <c r="BJ14" s="2"/>
      <c r="BK14" s="2"/>
    </row>
    <row r="15" spans="2:63" x14ac:dyDescent="0.55000000000000004">
      <c r="B15" s="140" t="s">
        <v>380</v>
      </c>
      <c r="C15" s="2"/>
      <c r="D15" s="2"/>
      <c r="E15" s="2"/>
      <c r="F15" s="129">
        <f>(F11-F12)*(1+F14)-F13</f>
        <v>0.37249999999999994</v>
      </c>
      <c r="G15" s="129">
        <f>(G11-G12)*(1+G14)-G13</f>
        <v>0.31200000000000006</v>
      </c>
      <c r="N15" s="2"/>
      <c r="O15" s="2"/>
      <c r="P15" s="2"/>
      <c r="Q15" s="2"/>
      <c r="S15" s="2"/>
      <c r="T15" s="2"/>
      <c r="U15" s="2"/>
      <c r="V15" s="2"/>
      <c r="W15" s="2"/>
      <c r="X15" s="2"/>
      <c r="Y15" s="2"/>
      <c r="Z15" s="2"/>
      <c r="AA15" s="127"/>
      <c r="AB15" s="127"/>
      <c r="AC15" s="127"/>
      <c r="AD15" s="127"/>
      <c r="AE15" s="127"/>
      <c r="AF15" s="127"/>
      <c r="AG15" s="127"/>
      <c r="AH15" s="127"/>
      <c r="AI15" s="127"/>
      <c r="AJ15" s="127"/>
      <c r="AK15" s="127"/>
      <c r="AL15" s="127"/>
      <c r="AM15" s="127"/>
      <c r="AN15" s="127"/>
      <c r="AO15" s="2"/>
      <c r="AP15" s="2"/>
      <c r="AQ15" s="2"/>
      <c r="AR15" s="2"/>
      <c r="AS15" s="2"/>
      <c r="AT15" s="2"/>
      <c r="AU15" s="2"/>
      <c r="AV15" s="2"/>
      <c r="AW15" s="2"/>
      <c r="AY15" s="2"/>
      <c r="AZ15" s="2"/>
      <c r="BA15" s="2"/>
      <c r="BB15" s="2"/>
      <c r="BC15" s="2"/>
      <c r="BD15" s="2"/>
      <c r="BE15" s="2"/>
      <c r="BF15" s="2"/>
      <c r="BG15" s="2"/>
      <c r="BH15" s="2"/>
      <c r="BI15" s="2"/>
      <c r="BJ15" s="2"/>
      <c r="BK15" s="2"/>
    </row>
    <row r="16" spans="2:63" x14ac:dyDescent="0.55000000000000004">
      <c r="B16" s="140"/>
      <c r="C16" s="2"/>
      <c r="D16" s="2"/>
      <c r="E16" s="2"/>
      <c r="F16" s="97"/>
      <c r="G16" s="97"/>
      <c r="N16" s="2"/>
      <c r="O16" s="2"/>
      <c r="P16" s="2"/>
      <c r="Q16" s="2"/>
      <c r="S16" s="2"/>
      <c r="T16" s="2"/>
      <c r="U16" s="2"/>
      <c r="V16" s="2"/>
      <c r="W16" s="2"/>
      <c r="X16" s="2"/>
      <c r="Y16" s="2"/>
      <c r="Z16" s="2"/>
      <c r="AA16" s="127"/>
      <c r="AB16" s="127"/>
      <c r="AC16" s="127"/>
      <c r="AD16" s="127"/>
      <c r="AE16" s="127"/>
      <c r="AF16" s="127"/>
      <c r="AG16" s="127"/>
      <c r="AH16" s="127"/>
      <c r="AI16" s="127"/>
      <c r="AJ16" s="127"/>
      <c r="AK16" s="127"/>
      <c r="AL16" s="127"/>
      <c r="AM16" s="127"/>
      <c r="AN16" s="127"/>
      <c r="AO16" s="2"/>
      <c r="AP16" s="2"/>
      <c r="AQ16" s="2"/>
      <c r="AR16" s="2"/>
      <c r="AS16" s="2"/>
      <c r="AT16" s="2"/>
      <c r="AU16" s="2"/>
      <c r="AV16" s="2"/>
      <c r="AW16" s="2"/>
      <c r="AY16" s="2"/>
      <c r="AZ16" s="2"/>
      <c r="BA16" s="2"/>
      <c r="BB16" s="2"/>
      <c r="BC16" s="2"/>
      <c r="BD16" s="2"/>
      <c r="BE16" s="2"/>
      <c r="BF16" s="2"/>
      <c r="BG16" s="2"/>
      <c r="BH16" s="2"/>
      <c r="BI16" s="2"/>
      <c r="BJ16" s="2"/>
      <c r="BK16" s="2"/>
    </row>
    <row r="17" spans="2:63" x14ac:dyDescent="0.55000000000000004">
      <c r="B17" s="140" t="s">
        <v>151</v>
      </c>
      <c r="C17" s="2"/>
      <c r="D17" s="2"/>
      <c r="E17" s="2"/>
      <c r="F17" s="132">
        <v>0.02</v>
      </c>
      <c r="G17" s="132">
        <v>0.01</v>
      </c>
      <c r="N17" s="2"/>
      <c r="O17" s="2"/>
      <c r="P17" s="2"/>
      <c r="Q17" s="2"/>
      <c r="S17" s="2"/>
      <c r="T17" s="2"/>
      <c r="U17" s="2"/>
      <c r="V17" s="2"/>
      <c r="W17" s="2"/>
      <c r="X17" s="2"/>
      <c r="Y17" s="2"/>
      <c r="Z17" s="2"/>
      <c r="AA17" s="127"/>
      <c r="AB17" s="127"/>
      <c r="AC17" s="127"/>
      <c r="AD17" s="127"/>
      <c r="AE17" s="127"/>
      <c r="AF17" s="127"/>
      <c r="AG17" s="127"/>
      <c r="AH17" s="127"/>
      <c r="AI17" s="127"/>
      <c r="AJ17" s="127"/>
      <c r="AK17" s="127"/>
      <c r="AL17" s="127"/>
      <c r="AM17" s="127"/>
      <c r="AN17" s="127"/>
      <c r="AO17" s="2"/>
      <c r="AP17" s="2"/>
      <c r="AQ17" s="2"/>
      <c r="AR17" s="2"/>
      <c r="AS17" s="2"/>
      <c r="AT17" s="2"/>
      <c r="AU17" s="2"/>
      <c r="AV17" s="2"/>
      <c r="AW17" s="2"/>
      <c r="AY17" s="2"/>
      <c r="AZ17" s="2"/>
      <c r="BA17" s="2"/>
      <c r="BB17" s="2"/>
      <c r="BC17" s="2"/>
      <c r="BD17" s="2"/>
      <c r="BE17" s="2"/>
      <c r="BF17" s="2"/>
      <c r="BG17" s="2"/>
      <c r="BH17" s="2"/>
      <c r="BI17" s="2"/>
      <c r="BJ17" s="2"/>
      <c r="BK17" s="2"/>
    </row>
    <row r="18" spans="2:63" x14ac:dyDescent="0.55000000000000004">
      <c r="B18" s="140" t="s">
        <v>376</v>
      </c>
      <c r="F18" s="132">
        <v>0.01</v>
      </c>
      <c r="G18" s="132">
        <v>5.0000000000000001E-3</v>
      </c>
      <c r="N18" s="2"/>
      <c r="O18" s="2"/>
      <c r="P18" s="2"/>
      <c r="Q18" s="2"/>
      <c r="S18" s="2"/>
      <c r="T18" s="2"/>
      <c r="U18" s="2"/>
      <c r="V18" s="2"/>
      <c r="W18" s="2"/>
      <c r="X18" s="2"/>
      <c r="Y18" s="2"/>
      <c r="Z18" s="2"/>
      <c r="AA18" s="127"/>
      <c r="AB18" s="127"/>
      <c r="AC18" s="127"/>
      <c r="AD18" s="127"/>
      <c r="AE18" s="127"/>
      <c r="AF18" s="127"/>
      <c r="AG18" s="127"/>
      <c r="AH18" s="127"/>
      <c r="AI18" s="127"/>
      <c r="AJ18" s="127"/>
      <c r="AK18" s="127"/>
      <c r="AL18" s="127"/>
      <c r="AM18" s="127"/>
      <c r="AN18" s="127"/>
      <c r="AO18" s="2"/>
      <c r="AP18" s="2"/>
      <c r="AQ18" s="2"/>
      <c r="AR18" s="2"/>
      <c r="AS18" s="2"/>
      <c r="AT18" s="2"/>
      <c r="AU18" s="2"/>
      <c r="AV18" s="2"/>
      <c r="AW18" s="2"/>
      <c r="AY18" s="2"/>
      <c r="AZ18" s="2"/>
      <c r="BA18" s="2"/>
      <c r="BB18" s="2"/>
      <c r="BC18" s="2"/>
      <c r="BD18" s="2"/>
      <c r="BE18" s="2"/>
      <c r="BF18" s="2"/>
      <c r="BG18" s="2"/>
      <c r="BH18" s="2"/>
      <c r="BI18" s="2"/>
      <c r="BJ18" s="2"/>
      <c r="BK18" s="2"/>
    </row>
    <row r="19" spans="2:63" x14ac:dyDescent="0.55000000000000004">
      <c r="B19" s="140" t="s">
        <v>117</v>
      </c>
      <c r="C19" s="2"/>
      <c r="D19" s="2"/>
      <c r="E19" s="2"/>
      <c r="F19" s="132">
        <v>0.2</v>
      </c>
      <c r="G19" s="132">
        <v>0.1</v>
      </c>
      <c r="N19" s="2"/>
      <c r="O19" s="2"/>
      <c r="P19" s="2"/>
      <c r="Q19" s="2"/>
      <c r="S19" s="2"/>
      <c r="T19" s="2"/>
      <c r="U19" s="2"/>
      <c r="V19" s="2"/>
      <c r="W19" s="2"/>
      <c r="X19" s="2"/>
      <c r="Y19" s="2"/>
      <c r="Z19" s="2"/>
      <c r="AA19" s="127"/>
      <c r="AB19" s="127"/>
      <c r="AC19" s="127"/>
      <c r="AD19" s="127"/>
      <c r="AE19" s="127"/>
      <c r="AF19" s="127"/>
      <c r="AG19" s="127"/>
      <c r="AH19" s="127"/>
      <c r="AI19" s="127"/>
      <c r="AJ19" s="127"/>
      <c r="AK19" s="127"/>
      <c r="AL19" s="127"/>
      <c r="AM19" s="127"/>
      <c r="AN19" s="127"/>
      <c r="AO19" s="2"/>
      <c r="AP19" s="2"/>
      <c r="AQ19" s="2"/>
      <c r="AR19" s="2"/>
      <c r="AS19" s="2"/>
      <c r="AT19" s="2"/>
      <c r="AU19" s="2"/>
      <c r="AV19" s="2"/>
      <c r="AW19" s="2"/>
      <c r="AY19" s="2"/>
      <c r="AZ19" s="2"/>
      <c r="BA19" s="2"/>
      <c r="BB19" s="2"/>
      <c r="BC19" s="2"/>
      <c r="BD19" s="2"/>
      <c r="BE19" s="2"/>
      <c r="BF19" s="2"/>
      <c r="BG19" s="2"/>
      <c r="BH19" s="2"/>
      <c r="BI19" s="2"/>
      <c r="BJ19" s="2"/>
      <c r="BK19" s="2"/>
    </row>
    <row r="20" spans="2:63" x14ac:dyDescent="0.55000000000000004">
      <c r="B20" s="140"/>
      <c r="C20" s="2"/>
      <c r="D20" s="2"/>
      <c r="E20" s="2"/>
      <c r="F20" s="97"/>
      <c r="G20" s="97"/>
      <c r="H20" s="97"/>
      <c r="N20" s="2"/>
      <c r="O20" s="2"/>
      <c r="P20" s="2"/>
      <c r="Q20" s="2"/>
      <c r="S20" s="2"/>
      <c r="T20" s="2"/>
      <c r="U20" s="2"/>
      <c r="V20" s="2"/>
      <c r="W20" s="2"/>
      <c r="X20" s="2"/>
      <c r="Y20" s="2"/>
      <c r="Z20" s="2"/>
      <c r="AA20" s="127"/>
      <c r="AB20" s="127"/>
      <c r="AC20" s="127"/>
      <c r="AD20" s="127"/>
      <c r="AE20" s="127"/>
      <c r="AF20" s="127"/>
      <c r="AG20" s="127"/>
      <c r="AH20" s="127"/>
      <c r="AI20" s="127"/>
      <c r="AJ20" s="127"/>
      <c r="AK20" s="127"/>
      <c r="AL20" s="127"/>
      <c r="AM20" s="127"/>
      <c r="AN20" s="127"/>
      <c r="AO20" s="2"/>
      <c r="AP20" s="2"/>
      <c r="AQ20" s="2"/>
      <c r="AR20" s="2"/>
      <c r="AS20" s="2"/>
      <c r="AT20" s="2"/>
      <c r="AU20" s="2"/>
      <c r="AV20" s="2"/>
      <c r="AW20" s="2"/>
      <c r="AY20" s="2"/>
      <c r="AZ20" s="2"/>
      <c r="BA20" s="2"/>
      <c r="BB20" s="2"/>
      <c r="BC20" s="2"/>
      <c r="BD20" s="2"/>
      <c r="BE20" s="2"/>
      <c r="BF20" s="2"/>
      <c r="BG20" s="2"/>
      <c r="BH20" s="2"/>
      <c r="BI20" s="2"/>
      <c r="BJ20" s="2"/>
      <c r="BK20" s="2"/>
    </row>
    <row r="21" spans="2:63" x14ac:dyDescent="0.55000000000000004">
      <c r="B21" s="140" t="s">
        <v>410</v>
      </c>
      <c r="C21" s="2"/>
      <c r="D21" s="2"/>
      <c r="E21" s="2"/>
      <c r="F21" s="131">
        <v>9000000</v>
      </c>
      <c r="H21" s="97"/>
      <c r="N21" s="2"/>
      <c r="O21" s="2"/>
      <c r="P21" s="2"/>
      <c r="Q21" s="2"/>
      <c r="S21" s="2"/>
      <c r="T21" s="2"/>
      <c r="U21" s="2"/>
      <c r="V21" s="2"/>
      <c r="W21" s="2"/>
      <c r="X21" s="2"/>
      <c r="Y21" s="2"/>
      <c r="Z21" s="2"/>
      <c r="AA21" s="127"/>
      <c r="AB21" s="127"/>
      <c r="AC21" s="127"/>
      <c r="AD21" s="127"/>
      <c r="AE21" s="127"/>
      <c r="AF21" s="127"/>
      <c r="AG21" s="127"/>
      <c r="AH21" s="127"/>
      <c r="AI21" s="127"/>
      <c r="AJ21" s="127"/>
      <c r="AK21" s="127"/>
      <c r="AL21" s="127"/>
      <c r="AM21" s="127"/>
      <c r="AN21" s="127"/>
      <c r="AO21" s="2"/>
      <c r="AP21" s="2"/>
      <c r="AQ21" s="2"/>
      <c r="AR21" s="2"/>
      <c r="AS21" s="2"/>
      <c r="AT21" s="2"/>
      <c r="AU21" s="2"/>
      <c r="AV21" s="2"/>
      <c r="AW21" s="2"/>
      <c r="AX21" s="2"/>
      <c r="AY21" s="2"/>
      <c r="AZ21" s="2"/>
      <c r="BA21" s="2"/>
      <c r="BB21" s="2"/>
      <c r="BC21" s="2"/>
      <c r="BD21" s="2"/>
      <c r="BE21" s="2"/>
      <c r="BF21" s="2"/>
      <c r="BG21" s="2"/>
      <c r="BH21" s="2"/>
      <c r="BI21" s="2"/>
      <c r="BJ21" s="2"/>
      <c r="BK21" s="2"/>
    </row>
    <row r="22" spans="2:63" x14ac:dyDescent="0.55000000000000004">
      <c r="B22" s="140" t="s">
        <v>411</v>
      </c>
      <c r="C22" s="2"/>
      <c r="D22" s="2"/>
      <c r="E22" s="2"/>
      <c r="F22" s="131" t="s">
        <v>372</v>
      </c>
      <c r="H22" s="97"/>
      <c r="N22" s="2"/>
      <c r="O22" s="2"/>
      <c r="P22" s="2"/>
      <c r="Q22" s="2"/>
      <c r="S22" s="2"/>
      <c r="T22" s="2"/>
      <c r="U22" s="2"/>
      <c r="V22" s="2"/>
      <c r="W22" s="2"/>
      <c r="X22" s="2"/>
      <c r="Y22" s="2"/>
      <c r="Z22" s="2"/>
      <c r="AA22" s="127"/>
      <c r="AB22" s="127"/>
      <c r="AC22" s="127"/>
      <c r="AD22" s="127"/>
      <c r="AE22" s="127"/>
      <c r="AF22" s="127"/>
      <c r="AG22" s="127"/>
      <c r="AH22" s="127"/>
      <c r="AI22" s="127"/>
      <c r="AJ22" s="127"/>
      <c r="AK22" s="127"/>
      <c r="AL22" s="127"/>
      <c r="AM22" s="127"/>
      <c r="AN22" s="127"/>
      <c r="AO22" s="2"/>
      <c r="AP22" s="2"/>
      <c r="AQ22" s="2"/>
      <c r="AR22" s="2"/>
      <c r="AS22" s="2"/>
      <c r="AT22" s="2"/>
      <c r="AU22" s="2"/>
      <c r="AV22" s="2"/>
      <c r="AW22" s="2"/>
      <c r="AX22" s="2"/>
      <c r="AY22" s="2"/>
      <c r="AZ22" s="2"/>
      <c r="BA22" s="2"/>
      <c r="BB22" s="2"/>
      <c r="BC22" s="2"/>
      <c r="BD22" s="2"/>
      <c r="BE22" s="2"/>
      <c r="BF22" s="2"/>
      <c r="BG22" s="2"/>
      <c r="BH22" s="2"/>
      <c r="BI22" s="2"/>
      <c r="BJ22" s="2"/>
      <c r="BK22" s="2"/>
    </row>
    <row r="23" spans="2:63" x14ac:dyDescent="0.55000000000000004">
      <c r="B23" s="140" t="s">
        <v>163</v>
      </c>
      <c r="C23" s="2"/>
      <c r="D23" s="2"/>
      <c r="E23" s="2"/>
      <c r="F23" s="130" t="s">
        <v>118</v>
      </c>
      <c r="N23" s="2"/>
      <c r="O23" s="2"/>
      <c r="P23" s="2"/>
      <c r="Q23" s="2"/>
      <c r="S23" s="2"/>
      <c r="T23" s="2"/>
      <c r="U23" s="2"/>
      <c r="V23" s="2"/>
      <c r="W23" s="2"/>
      <c r="X23" s="2"/>
      <c r="Y23" s="2"/>
      <c r="Z23" s="2"/>
      <c r="AA23" s="127"/>
      <c r="AB23" s="127"/>
      <c r="AC23" s="127"/>
      <c r="AD23" s="127"/>
      <c r="AE23" s="127"/>
      <c r="AF23" s="127"/>
      <c r="AG23" s="127"/>
      <c r="AH23" s="127"/>
      <c r="AI23" s="127"/>
      <c r="AJ23" s="127"/>
      <c r="AK23" s="127"/>
      <c r="AL23" s="127"/>
      <c r="AM23" s="127"/>
      <c r="AN23" s="127"/>
      <c r="AO23" s="2"/>
      <c r="AP23" s="2"/>
      <c r="AQ23" s="2"/>
      <c r="AR23" s="2"/>
      <c r="AS23" s="2"/>
      <c r="AT23" s="2"/>
      <c r="AU23" s="2"/>
      <c r="AV23" s="2"/>
      <c r="AW23" s="2"/>
      <c r="AX23" s="2"/>
      <c r="AY23" s="2"/>
      <c r="AZ23" s="2"/>
      <c r="BA23" s="2"/>
      <c r="BB23" s="2"/>
      <c r="BC23" s="2"/>
      <c r="BD23" s="2"/>
      <c r="BE23" s="2"/>
      <c r="BF23" s="2"/>
      <c r="BG23" s="2"/>
      <c r="BH23" s="2"/>
      <c r="BI23" s="2"/>
      <c r="BJ23" s="2"/>
      <c r="BK23" s="2"/>
    </row>
    <row r="24" spans="2:63" x14ac:dyDescent="0.55000000000000004">
      <c r="B24" s="140" t="s">
        <v>161</v>
      </c>
      <c r="F24" s="130" t="s">
        <v>118</v>
      </c>
      <c r="N24" s="2"/>
      <c r="O24" s="2"/>
      <c r="P24" s="2"/>
      <c r="Q24" s="2"/>
      <c r="S24" s="2"/>
      <c r="T24" s="2"/>
      <c r="U24" s="2"/>
      <c r="V24" s="2"/>
      <c r="W24" s="2"/>
      <c r="X24" s="2"/>
      <c r="Y24" s="2"/>
      <c r="Z24" s="2"/>
      <c r="AA24" s="127"/>
      <c r="AB24" s="127"/>
      <c r="AC24" s="127"/>
      <c r="AD24" s="127"/>
      <c r="AE24" s="127"/>
      <c r="AF24" s="127"/>
      <c r="AG24" s="127"/>
      <c r="AH24" s="127"/>
      <c r="AI24" s="127"/>
      <c r="AJ24" s="127"/>
      <c r="AK24" s="127"/>
      <c r="AL24" s="127"/>
      <c r="AM24" s="127"/>
      <c r="AN24" s="127"/>
      <c r="AO24" s="2"/>
      <c r="AP24" s="2"/>
      <c r="AQ24" s="2"/>
      <c r="AR24" s="2"/>
      <c r="AS24" s="2"/>
      <c r="AT24" s="2"/>
      <c r="AU24" s="2"/>
      <c r="AV24" s="2"/>
      <c r="AW24" s="2"/>
      <c r="AX24" s="2"/>
      <c r="AY24" s="2"/>
      <c r="AZ24" s="2"/>
      <c r="BA24" s="2"/>
      <c r="BB24" s="2"/>
      <c r="BC24" s="2"/>
      <c r="BD24" s="2"/>
      <c r="BE24" s="2"/>
      <c r="BF24" s="2"/>
      <c r="BG24" s="2"/>
      <c r="BH24" s="2"/>
      <c r="BI24" s="2"/>
      <c r="BJ24" s="2"/>
      <c r="BK24" s="2"/>
    </row>
    <row r="25" spans="2:63" x14ac:dyDescent="0.55000000000000004">
      <c r="B25" s="140" t="s">
        <v>377</v>
      </c>
      <c r="C25" s="2"/>
      <c r="D25" s="2"/>
      <c r="E25" s="2"/>
      <c r="F25" s="130" t="s">
        <v>118</v>
      </c>
      <c r="N25" s="2"/>
      <c r="O25" s="2"/>
      <c r="P25" s="2"/>
      <c r="Q25" s="2"/>
      <c r="S25" s="2"/>
      <c r="T25" s="2"/>
      <c r="U25" s="2"/>
      <c r="V25" s="2"/>
      <c r="W25" s="2"/>
      <c r="X25" s="2"/>
      <c r="Y25" s="2"/>
      <c r="Z25" s="2"/>
      <c r="AA25" s="127"/>
      <c r="AB25" s="127"/>
      <c r="AC25" s="127"/>
      <c r="AD25" s="127"/>
      <c r="AE25" s="127"/>
      <c r="AF25" s="127"/>
      <c r="AG25" s="127"/>
      <c r="AH25" s="127"/>
      <c r="AI25" s="127"/>
      <c r="AJ25" s="127"/>
      <c r="AK25" s="127"/>
      <c r="AL25" s="127"/>
      <c r="AM25" s="127"/>
      <c r="AN25" s="127"/>
      <c r="AO25" s="2"/>
      <c r="AP25" s="2"/>
      <c r="AQ25" s="2"/>
      <c r="AR25" s="2"/>
      <c r="AS25" s="2"/>
      <c r="AT25" s="2"/>
      <c r="AU25" s="2"/>
      <c r="AV25" s="2"/>
      <c r="AW25" s="2"/>
      <c r="AX25" s="2"/>
      <c r="AY25" s="2"/>
      <c r="AZ25" s="2"/>
      <c r="BA25" s="2"/>
      <c r="BB25" s="2"/>
      <c r="BC25" s="2"/>
      <c r="BD25" s="2"/>
      <c r="BE25" s="2"/>
      <c r="BF25" s="2"/>
      <c r="BG25" s="2"/>
      <c r="BH25" s="2"/>
      <c r="BI25" s="2"/>
      <c r="BJ25" s="2"/>
      <c r="BK25" s="2"/>
    </row>
    <row r="26" spans="2:63" x14ac:dyDescent="0.55000000000000004">
      <c r="B26" s="140" t="s">
        <v>434</v>
      </c>
      <c r="C26" s="2"/>
      <c r="D26" s="2"/>
      <c r="E26" s="2"/>
      <c r="F26" s="130" t="s">
        <v>122</v>
      </c>
      <c r="H26" s="105"/>
      <c r="N26" s="2"/>
      <c r="O26" s="2"/>
      <c r="P26" s="2"/>
      <c r="Q26" s="2"/>
      <c r="S26" s="2"/>
      <c r="T26" s="2"/>
      <c r="U26" s="2"/>
      <c r="V26" s="2"/>
      <c r="W26" s="2"/>
      <c r="X26" s="2"/>
      <c r="Y26" s="2"/>
      <c r="Z26" s="2"/>
      <c r="AA26" s="127"/>
      <c r="AB26" s="127"/>
      <c r="AC26" s="127"/>
      <c r="AD26" s="127"/>
      <c r="AE26" s="127"/>
      <c r="AF26" s="127"/>
      <c r="AG26" s="127"/>
      <c r="AH26" s="127"/>
      <c r="AI26" s="127"/>
      <c r="AJ26" s="127"/>
      <c r="AK26" s="127"/>
      <c r="AL26" s="127"/>
      <c r="AM26" s="127"/>
      <c r="AN26" s="127"/>
      <c r="AO26" s="2"/>
      <c r="AP26" s="2"/>
      <c r="AQ26" s="2"/>
      <c r="AR26" s="2"/>
      <c r="AS26" s="2"/>
      <c r="AT26" s="2"/>
      <c r="AU26" s="2"/>
      <c r="AV26" s="2"/>
      <c r="AW26" s="2"/>
      <c r="AX26" s="2"/>
      <c r="AY26" s="2"/>
      <c r="AZ26" s="2"/>
      <c r="BA26" s="2"/>
      <c r="BB26" s="2"/>
      <c r="BC26" s="2"/>
      <c r="BD26" s="2"/>
      <c r="BE26" s="2"/>
      <c r="BF26" s="2"/>
      <c r="BG26" s="2"/>
      <c r="BH26" s="2"/>
      <c r="BI26" s="2"/>
      <c r="BJ26" s="2"/>
      <c r="BK26" s="2"/>
    </row>
    <row r="27" spans="2:63" x14ac:dyDescent="0.55000000000000004">
      <c r="B27" s="140" t="s">
        <v>131</v>
      </c>
      <c r="C27" s="2"/>
      <c r="D27" s="2"/>
      <c r="E27" s="2"/>
      <c r="F27" s="130" t="s">
        <v>374</v>
      </c>
      <c r="H27" s="105"/>
      <c r="N27" s="2"/>
      <c r="O27" s="2"/>
      <c r="P27" s="2"/>
      <c r="Q27" s="2"/>
      <c r="S27" s="2"/>
      <c r="T27" s="2"/>
      <c r="U27" s="2"/>
      <c r="V27" s="2"/>
      <c r="W27" s="2"/>
      <c r="X27" s="2"/>
      <c r="Y27" s="2"/>
      <c r="Z27" s="2"/>
      <c r="AA27" s="127"/>
      <c r="AB27" s="127"/>
      <c r="AC27" s="127"/>
      <c r="AD27" s="127"/>
      <c r="AE27" s="127"/>
      <c r="AF27" s="127"/>
      <c r="AG27" s="127"/>
      <c r="AH27" s="127"/>
      <c r="AI27" s="127"/>
      <c r="AJ27" s="127"/>
      <c r="AK27" s="127"/>
      <c r="AL27" s="127"/>
      <c r="AM27" s="127"/>
      <c r="AN27" s="127"/>
      <c r="AO27" s="2"/>
      <c r="AP27" s="2"/>
      <c r="AQ27" s="2"/>
      <c r="AR27" s="2"/>
      <c r="AS27" s="2"/>
      <c r="AT27" s="2"/>
      <c r="AU27" s="2"/>
      <c r="AV27" s="2"/>
      <c r="AW27" s="2"/>
      <c r="AX27" s="2"/>
      <c r="AY27" s="2"/>
      <c r="AZ27" s="2"/>
      <c r="BA27" s="2"/>
      <c r="BB27" s="2"/>
      <c r="BC27" s="2"/>
      <c r="BD27" s="2"/>
      <c r="BE27" s="2"/>
      <c r="BF27" s="2"/>
      <c r="BG27" s="2"/>
      <c r="BH27" s="2"/>
      <c r="BI27" s="2"/>
      <c r="BJ27" s="2"/>
      <c r="BK27" s="2"/>
    </row>
    <row r="28" spans="2:63" x14ac:dyDescent="0.55000000000000004">
      <c r="B28" s="140" t="s">
        <v>132</v>
      </c>
      <c r="C28" s="2"/>
      <c r="D28" s="2"/>
      <c r="E28" s="2"/>
      <c r="F28" s="130" t="s">
        <v>122</v>
      </c>
      <c r="H28" s="105"/>
      <c r="N28" s="2"/>
      <c r="O28" s="2"/>
      <c r="P28" s="2"/>
      <c r="Q28" s="2"/>
      <c r="S28" s="2"/>
      <c r="T28" s="2"/>
      <c r="U28" s="2"/>
      <c r="V28" s="2"/>
      <c r="W28" s="2"/>
      <c r="X28" s="2"/>
      <c r="Y28" s="2"/>
      <c r="Z28" s="2"/>
      <c r="AA28" s="127"/>
      <c r="AB28" s="127"/>
      <c r="AC28" s="127"/>
      <c r="AD28" s="127"/>
      <c r="AE28" s="127"/>
      <c r="AF28" s="127"/>
      <c r="AG28" s="127"/>
      <c r="AH28" s="127"/>
      <c r="AI28" s="127"/>
      <c r="AJ28" s="127"/>
      <c r="AK28" s="127"/>
      <c r="AL28" s="127"/>
      <c r="AM28" s="127"/>
      <c r="AN28" s="127"/>
      <c r="AO28" s="2"/>
      <c r="AP28" s="2"/>
      <c r="AQ28" s="2"/>
      <c r="AR28" s="2"/>
      <c r="AS28" s="2"/>
      <c r="AT28" s="2"/>
      <c r="AU28" s="2"/>
      <c r="AV28" s="2"/>
      <c r="AW28" s="2"/>
      <c r="AX28" s="2"/>
      <c r="AY28" s="2"/>
      <c r="AZ28" s="2"/>
      <c r="BA28" s="2"/>
      <c r="BB28" s="2"/>
      <c r="BC28" s="2"/>
      <c r="BD28" s="2"/>
      <c r="BE28" s="2"/>
      <c r="BF28" s="2"/>
      <c r="BG28" s="2"/>
      <c r="BH28" s="2"/>
      <c r="BI28" s="2"/>
      <c r="BJ28" s="2"/>
      <c r="BK28" s="2"/>
    </row>
    <row r="29" spans="2:63" x14ac:dyDescent="0.55000000000000004">
      <c r="B29" s="140" t="s">
        <v>387</v>
      </c>
      <c r="C29" s="2"/>
      <c r="D29" s="2"/>
      <c r="E29" s="2"/>
      <c r="F29" s="130" t="s">
        <v>118</v>
      </c>
      <c r="H29" s="105"/>
      <c r="N29" s="2"/>
      <c r="O29" s="2"/>
      <c r="P29" s="2"/>
      <c r="Q29" s="2"/>
      <c r="S29" s="2"/>
      <c r="T29" s="2"/>
      <c r="U29" s="2"/>
      <c r="V29" s="2"/>
      <c r="W29" s="2"/>
      <c r="X29" s="2"/>
      <c r="Y29" s="2"/>
      <c r="Z29" s="2"/>
      <c r="AA29" s="127"/>
      <c r="AB29" s="127"/>
      <c r="AC29" s="127"/>
      <c r="AD29" s="127"/>
      <c r="AE29" s="127"/>
      <c r="AF29" s="127"/>
      <c r="AG29" s="127"/>
      <c r="AH29" s="127"/>
      <c r="AI29" s="127"/>
      <c r="AJ29" s="127"/>
      <c r="AK29" s="127"/>
      <c r="AL29" s="127"/>
      <c r="AM29" s="127"/>
      <c r="AN29" s="127"/>
      <c r="AO29" s="2"/>
      <c r="AP29" s="2"/>
      <c r="AQ29" s="2"/>
      <c r="AR29" s="2"/>
      <c r="AS29" s="2"/>
      <c r="AT29" s="2"/>
      <c r="AU29" s="2"/>
      <c r="AV29" s="2"/>
      <c r="AW29" s="2"/>
      <c r="AX29" s="2"/>
      <c r="AY29" s="2"/>
      <c r="AZ29" s="2"/>
      <c r="BA29" s="2"/>
      <c r="BB29" s="2"/>
      <c r="BC29" s="2"/>
      <c r="BD29" s="2"/>
      <c r="BE29" s="2"/>
      <c r="BF29" s="2"/>
      <c r="BG29" s="2"/>
      <c r="BH29" s="2"/>
      <c r="BI29" s="2"/>
      <c r="BJ29" s="2"/>
      <c r="BK29" s="2"/>
    </row>
    <row r="30" spans="2:63" x14ac:dyDescent="0.55000000000000004">
      <c r="H30" s="105"/>
      <c r="J30" s="2"/>
      <c r="K30" s="2"/>
      <c r="N30" s="2"/>
      <c r="O30" s="2"/>
      <c r="P30" s="2"/>
      <c r="Q30" s="2"/>
      <c r="S30" s="2"/>
      <c r="T30" s="2"/>
      <c r="U30" s="2"/>
      <c r="V30" s="2"/>
      <c r="W30" s="2"/>
      <c r="X30" s="2"/>
      <c r="Y30" s="2"/>
      <c r="Z30" s="2"/>
      <c r="AA30" s="22"/>
      <c r="AB30" s="2"/>
      <c r="AC30" s="2"/>
      <c r="AD30" s="2"/>
      <c r="AE30" s="2"/>
      <c r="AF30" s="2"/>
      <c r="AG30" s="21"/>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row>
    <row r="31" spans="2:63" x14ac:dyDescent="0.55000000000000004">
      <c r="H31" s="105"/>
      <c r="J31" s="2"/>
      <c r="K31" s="2"/>
      <c r="N31" s="2"/>
      <c r="O31" s="2"/>
      <c r="P31" s="2"/>
      <c r="Q31" s="2"/>
      <c r="S31" s="2"/>
      <c r="T31" s="2"/>
      <c r="U31" s="2"/>
      <c r="V31" s="2"/>
      <c r="W31" s="2"/>
      <c r="X31" s="2"/>
      <c r="Y31" s="2"/>
      <c r="Z31" s="2"/>
      <c r="AA31" s="22"/>
      <c r="AB31" s="2"/>
      <c r="AC31" s="2"/>
      <c r="AD31" s="2"/>
      <c r="AE31" s="2"/>
      <c r="AF31" s="2"/>
      <c r="AG31" s="21"/>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row>
    <row r="32" spans="2:63" x14ac:dyDescent="0.55000000000000004">
      <c r="H32" s="105"/>
      <c r="J32" s="2"/>
      <c r="K32" s="2"/>
      <c r="N32" s="2"/>
      <c r="O32" s="2"/>
      <c r="P32" s="2"/>
      <c r="Q32" s="2"/>
      <c r="S32" s="2"/>
      <c r="T32" s="2"/>
      <c r="U32" s="2"/>
      <c r="V32" s="2"/>
      <c r="W32" s="2"/>
      <c r="X32" s="2"/>
      <c r="Y32" s="2"/>
      <c r="Z32" s="2"/>
      <c r="AA32" s="22"/>
      <c r="AB32" s="2"/>
      <c r="AC32" s="2"/>
      <c r="AD32" s="2"/>
      <c r="AE32" s="2"/>
      <c r="AF32" s="2"/>
      <c r="AG32" s="21"/>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row>
    <row r="33" spans="1:63" x14ac:dyDescent="0.55000000000000004">
      <c r="H33" s="105"/>
      <c r="J33" s="2"/>
      <c r="K33" s="2"/>
      <c r="N33" s="2"/>
      <c r="O33" s="2"/>
      <c r="P33" s="2"/>
      <c r="Q33" s="2"/>
      <c r="S33" s="2"/>
      <c r="T33" s="2"/>
      <c r="U33" s="2"/>
      <c r="V33" s="2"/>
      <c r="W33" s="2"/>
      <c r="X33" s="2"/>
      <c r="Y33" s="2"/>
      <c r="Z33" s="2"/>
      <c r="AA33" s="22"/>
      <c r="AB33" s="2"/>
      <c r="AC33" s="2"/>
      <c r="AD33" s="2"/>
      <c r="AE33" s="2"/>
      <c r="AF33" s="2"/>
      <c r="AG33" s="21"/>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row>
    <row r="34" spans="1:63" ht="18.3" x14ac:dyDescent="0.55000000000000004">
      <c r="A34" s="2"/>
      <c r="B34" s="143" t="s">
        <v>164</v>
      </c>
      <c r="C34" s="107"/>
      <c r="D34" s="108"/>
      <c r="H34" s="105"/>
      <c r="J34" s="2"/>
      <c r="K34" s="2"/>
      <c r="N34" s="2"/>
      <c r="O34" s="2"/>
      <c r="P34" s="2"/>
      <c r="Q34" s="2"/>
      <c r="S34" s="2"/>
      <c r="T34" s="2"/>
      <c r="U34" s="2"/>
      <c r="V34" s="2"/>
      <c r="W34" s="2"/>
      <c r="X34" s="2"/>
      <c r="Y34" s="2"/>
      <c r="Z34" s="2"/>
      <c r="AA34" s="22"/>
      <c r="AB34" s="2"/>
      <c r="AC34" s="2"/>
      <c r="AD34" s="2"/>
      <c r="AE34" s="2"/>
      <c r="AF34" s="2"/>
      <c r="AG34" s="21"/>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row>
    <row r="35" spans="1:63" outlineLevel="1" x14ac:dyDescent="0.55000000000000004">
      <c r="D35" s="2"/>
      <c r="E35" s="2"/>
      <c r="F35" s="2"/>
      <c r="G35" s="2"/>
      <c r="H35" s="2"/>
      <c r="I35" s="2"/>
      <c r="J35" s="2"/>
      <c r="K35" s="2"/>
      <c r="L35" s="2"/>
      <c r="M35" s="2"/>
      <c r="N35" s="2"/>
      <c r="O35" s="2"/>
      <c r="P35" s="2"/>
      <c r="Q35" s="2"/>
      <c r="R35" s="2"/>
      <c r="S35" s="2"/>
      <c r="T35" s="2"/>
      <c r="U35" s="2"/>
      <c r="V35" s="2"/>
      <c r="W35" s="2"/>
      <c r="X35" s="45"/>
      <c r="Y35" s="46"/>
      <c r="Z35" s="2"/>
      <c r="AA35" s="2"/>
      <c r="AB35" s="2"/>
      <c r="AC35" s="2"/>
      <c r="AD35" s="2"/>
      <c r="AE35" s="2"/>
      <c r="AF35" s="2"/>
      <c r="AG35" s="21"/>
      <c r="AH35" s="2"/>
      <c r="AI35" s="2"/>
      <c r="AJ35" s="2"/>
      <c r="AK35" s="2"/>
      <c r="AL35" s="2"/>
    </row>
    <row r="36" spans="1:63" ht="19.899999999999999" customHeight="1" outlineLevel="1" x14ac:dyDescent="0.55000000000000004">
      <c r="B36" s="185" t="s">
        <v>67</v>
      </c>
      <c r="C36" s="185"/>
      <c r="D36" s="185"/>
      <c r="E36" s="2"/>
      <c r="F36" s="187" t="s">
        <v>127</v>
      </c>
      <c r="G36" s="187"/>
      <c r="H36" s="187"/>
      <c r="I36" s="2"/>
      <c r="J36" s="187" t="s">
        <v>69</v>
      </c>
      <c r="K36" s="187"/>
      <c r="L36" s="187"/>
      <c r="M36" s="187"/>
      <c r="N36" s="2"/>
      <c r="O36" s="187" t="s">
        <v>38</v>
      </c>
      <c r="P36" s="187"/>
      <c r="Q36" s="187"/>
      <c r="R36" s="187"/>
      <c r="S36" s="2"/>
      <c r="T36" s="190" t="s">
        <v>461</v>
      </c>
      <c r="U36" s="190"/>
      <c r="W36" s="189" t="s">
        <v>31</v>
      </c>
      <c r="X36" s="189"/>
      <c r="Y36" s="189"/>
      <c r="Z36" s="189"/>
      <c r="AA36" s="189"/>
      <c r="AB36" s="189"/>
      <c r="AC36" s="2"/>
      <c r="AD36" s="189" t="s">
        <v>32</v>
      </c>
      <c r="AE36" s="189"/>
      <c r="AF36" s="189"/>
      <c r="AG36" s="189"/>
      <c r="AH36" s="189"/>
      <c r="AI36" s="189"/>
      <c r="AJ36" s="21"/>
      <c r="AK36" s="189" t="s">
        <v>149</v>
      </c>
      <c r="AL36" s="189"/>
      <c r="AM36" s="19"/>
      <c r="AN36" s="189" t="s">
        <v>325</v>
      </c>
      <c r="AO36" s="189"/>
    </row>
    <row r="37" spans="1:63" ht="30.6" customHeight="1" outlineLevel="1" x14ac:dyDescent="0.55000000000000004">
      <c r="B37" s="145" t="s">
        <v>145</v>
      </c>
      <c r="C37" s="145" t="s">
        <v>10</v>
      </c>
      <c r="D37" s="78" t="s">
        <v>124</v>
      </c>
      <c r="E37" s="13"/>
      <c r="F37" s="82" t="s">
        <v>127</v>
      </c>
      <c r="G37" s="82" t="s">
        <v>153</v>
      </c>
      <c r="H37" s="133" t="s">
        <v>2</v>
      </c>
      <c r="I37" s="2"/>
      <c r="J37" s="88" t="s">
        <v>125</v>
      </c>
      <c r="K37" s="88" t="s">
        <v>36</v>
      </c>
      <c r="L37" s="48" t="s">
        <v>129</v>
      </c>
      <c r="M37" s="133" t="s">
        <v>2</v>
      </c>
      <c r="N37" s="13"/>
      <c r="O37" s="91" t="s">
        <v>126</v>
      </c>
      <c r="P37" s="91" t="s">
        <v>36</v>
      </c>
      <c r="Q37" s="92" t="s">
        <v>130</v>
      </c>
      <c r="R37" s="133" t="s">
        <v>2</v>
      </c>
      <c r="S37" s="55"/>
      <c r="T37" s="91" t="s">
        <v>154</v>
      </c>
      <c r="U37" s="91" t="s">
        <v>36</v>
      </c>
      <c r="W37" s="53" t="s">
        <v>12</v>
      </c>
      <c r="X37" s="53" t="s">
        <v>34</v>
      </c>
      <c r="Y37" s="53" t="s">
        <v>35</v>
      </c>
      <c r="Z37" s="53" t="s">
        <v>41</v>
      </c>
      <c r="AA37" s="56" t="s">
        <v>119</v>
      </c>
      <c r="AB37" s="53" t="s">
        <v>1</v>
      </c>
      <c r="AC37" s="55"/>
      <c r="AD37" s="53" t="s">
        <v>12</v>
      </c>
      <c r="AE37" s="53" t="s">
        <v>34</v>
      </c>
      <c r="AF37" s="53" t="s">
        <v>35</v>
      </c>
      <c r="AG37" s="56" t="s">
        <v>41</v>
      </c>
      <c r="AH37" s="56" t="s">
        <v>119</v>
      </c>
      <c r="AI37" s="53" t="s">
        <v>1</v>
      </c>
      <c r="AJ37" s="57"/>
      <c r="AK37" s="58" t="s">
        <v>3</v>
      </c>
      <c r="AL37" s="58" t="s">
        <v>0</v>
      </c>
      <c r="AM37" s="19"/>
      <c r="AN37" s="76" t="s">
        <v>45</v>
      </c>
      <c r="AO37" s="76" t="s">
        <v>146</v>
      </c>
      <c r="AP37" s="19"/>
      <c r="AQ37" s="19"/>
      <c r="AR37" s="19"/>
      <c r="AS37" s="19"/>
    </row>
    <row r="38" spans="1:63" s="19" customFormat="1" outlineLevel="1" x14ac:dyDescent="0.55000000000000004">
      <c r="B38" s="15" t="s">
        <v>169</v>
      </c>
      <c r="C38" s="15" t="s">
        <v>170</v>
      </c>
      <c r="D38" s="16" t="s">
        <v>171</v>
      </c>
      <c r="E38" s="20"/>
      <c r="F38" s="83" t="s">
        <v>172</v>
      </c>
      <c r="G38" s="83" t="s">
        <v>173</v>
      </c>
      <c r="H38" s="18" t="s">
        <v>174</v>
      </c>
      <c r="I38" s="23"/>
      <c r="J38" s="18" t="s">
        <v>175</v>
      </c>
      <c r="K38" s="18" t="s">
        <v>176</v>
      </c>
      <c r="L38" s="18" t="s">
        <v>180</v>
      </c>
      <c r="M38" s="17" t="s">
        <v>181</v>
      </c>
      <c r="N38" s="20"/>
      <c r="O38" s="17" t="s">
        <v>182</v>
      </c>
      <c r="P38" s="17" t="s">
        <v>183</v>
      </c>
      <c r="Q38" s="17" t="s">
        <v>184</v>
      </c>
      <c r="R38" s="142" t="s">
        <v>185</v>
      </c>
      <c r="S38" s="61"/>
      <c r="T38" s="17" t="s">
        <v>186</v>
      </c>
      <c r="U38" s="17" t="s">
        <v>187</v>
      </c>
      <c r="W38" s="60" t="s">
        <v>188</v>
      </c>
      <c r="X38" s="60" t="s">
        <v>189</v>
      </c>
      <c r="Y38" s="60" t="s">
        <v>190</v>
      </c>
      <c r="Z38" s="60" t="s">
        <v>191</v>
      </c>
      <c r="AA38" s="60" t="s">
        <v>192</v>
      </c>
      <c r="AB38" s="60" t="s">
        <v>193</v>
      </c>
      <c r="AC38" s="61"/>
      <c r="AD38" s="60" t="s">
        <v>194</v>
      </c>
      <c r="AE38" s="60" t="s">
        <v>195</v>
      </c>
      <c r="AF38" s="60" t="s">
        <v>196</v>
      </c>
      <c r="AG38" s="60" t="s">
        <v>197</v>
      </c>
      <c r="AH38" s="60" t="s">
        <v>198</v>
      </c>
      <c r="AI38" s="60" t="s">
        <v>199</v>
      </c>
      <c r="AJ38" s="62"/>
      <c r="AK38" s="60" t="s">
        <v>200</v>
      </c>
      <c r="AL38" s="60" t="s">
        <v>201</v>
      </c>
      <c r="AN38" s="60" t="s">
        <v>202</v>
      </c>
      <c r="AO38" s="60" t="s">
        <v>203</v>
      </c>
    </row>
    <row r="39" spans="1:63" outlineLevel="1" x14ac:dyDescent="0.55000000000000004">
      <c r="B39" s="1"/>
      <c r="C39" s="3">
        <v>0</v>
      </c>
      <c r="D39" s="87">
        <v>1</v>
      </c>
      <c r="E39" s="2"/>
      <c r="F39" s="84">
        <v>1</v>
      </c>
      <c r="G39" s="84"/>
      <c r="H39" s="5"/>
      <c r="I39" s="2"/>
      <c r="J39" s="2"/>
      <c r="K39" s="2"/>
      <c r="L39" s="55"/>
      <c r="M39" s="55"/>
      <c r="N39" s="2"/>
      <c r="O39" s="10"/>
      <c r="P39" s="10"/>
      <c r="Q39" s="49"/>
      <c r="R39" s="55"/>
      <c r="S39" s="55"/>
      <c r="T39" s="2"/>
      <c r="U39" s="2"/>
      <c r="W39" s="63">
        <f>IFERROR(IF(C39&gt;=$F$7*4,0,-IF($F$22="pattern",U40*$F$21,IF(AND($F$22="single",C39=0),$F$21,IF(AND($F$22="annual",MOD(C39,4)=0),$F$21/$F$7,IF(AND($F$22="semi-ann",MOD(C39,2)=0),$F$21/(2*$F$7),IF($F$22="quarterly",$F$21/(4*$F$7),0)))))*F39),0)</f>
        <v>-1125000</v>
      </c>
      <c r="X39" s="63"/>
      <c r="Y39" s="63"/>
      <c r="Z39" s="63">
        <f>-$F$13*$F$21</f>
        <v>-900000</v>
      </c>
      <c r="AA39" s="63"/>
      <c r="AB39" s="64">
        <f>SUM(W39:AA39)</f>
        <v>-2025000</v>
      </c>
      <c r="AC39" s="55"/>
      <c r="AD39" s="64">
        <f t="shared" ref="AD39:AD55" si="0">W39*$D39</f>
        <v>-1125000</v>
      </c>
      <c r="AE39" s="64"/>
      <c r="AF39" s="64"/>
      <c r="AG39" s="64">
        <f t="shared" ref="AG39:AG55" si="1">Z39*$D39</f>
        <v>-900000</v>
      </c>
      <c r="AH39" s="64"/>
      <c r="AI39" s="64">
        <f>SUM(AD39:AH39)</f>
        <v>-2025000</v>
      </c>
      <c r="AJ39" s="57"/>
      <c r="AK39" s="51">
        <f ca="1">SUM(AD39:AD$55,AG39:AG$55)/D39+SUM(AE40:AF$56,AH40:AH$55)/D39</f>
        <v>-4316362.5334659088</v>
      </c>
      <c r="AL39" s="51">
        <f>SUM(AE40:$AF$56)*$F$14/D39</f>
        <v>128683.9098865398</v>
      </c>
      <c r="AM39" s="19"/>
      <c r="AN39" s="51">
        <f ca="1">-SUM(AD39:$AD$56,AH39:$AH$56)/D39</f>
        <v>5990040.7311967034</v>
      </c>
      <c r="AO39" s="51">
        <f ca="1">-SUM(W39:$W$56,AA39:$AA$56)</f>
        <v>6164393.2976012016</v>
      </c>
      <c r="AP39" s="19"/>
      <c r="AQ39" s="19"/>
      <c r="AR39" s="19"/>
      <c r="AS39" s="19"/>
    </row>
    <row r="40" spans="1:63" outlineLevel="1" x14ac:dyDescent="0.55000000000000004">
      <c r="A40" s="9"/>
      <c r="B40" s="1" t="s">
        <v>6</v>
      </c>
      <c r="C40" s="3">
        <v>1</v>
      </c>
      <c r="D40" s="87">
        <f t="shared" ref="D40:D55" si="2">D39/(1+$F$17)^(1/4)</f>
        <v>0.99506157747984325</v>
      </c>
      <c r="E40" s="4"/>
      <c r="F40" s="84">
        <f t="shared" ref="F40:F47" si="3">(1-$F$19)^(C40/4)</f>
        <v>0.94574160900317583</v>
      </c>
      <c r="G40" s="84">
        <f>AVERAGE(F39:F40)</f>
        <v>0.97287080450158792</v>
      </c>
      <c r="H40" s="84">
        <f>F40*D40</f>
        <v>0.94107113734302528</v>
      </c>
      <c r="I40" s="4"/>
      <c r="J40" s="98">
        <v>1</v>
      </c>
      <c r="K40" s="94">
        <f t="shared" ref="K40:K47" si="4">J40/$J$58</f>
        <v>6.25E-2</v>
      </c>
      <c r="L40" s="47">
        <f>J40*G40</f>
        <v>0.97287080450158792</v>
      </c>
      <c r="M40" s="47">
        <f>L40*D40</f>
        <v>0.96806635741143421</v>
      </c>
      <c r="N40" s="4"/>
      <c r="O40" s="98">
        <v>1</v>
      </c>
      <c r="P40" s="94">
        <f t="shared" ref="P40:P47" si="5">O40/$O$58</f>
        <v>6.25E-2</v>
      </c>
      <c r="Q40" s="47">
        <f>O40*G40</f>
        <v>0.97287080450158792</v>
      </c>
      <c r="R40" s="47">
        <f>Q40*D40</f>
        <v>0.96806635741143421</v>
      </c>
      <c r="T40" s="137">
        <v>0.20282873599525819</v>
      </c>
      <c r="U40" s="135">
        <f t="shared" ref="U40:U55" si="6">T40/$T$58</f>
        <v>0.20282873599525819</v>
      </c>
      <c r="W40" s="63">
        <f t="shared" ref="W40:W55" si="7">IFERROR(IF(C40&gt;=$F$7*4,0,-IF($F$22="pattern",U41*$F$21,IF(AND($F$22="single",C40=0),$F$21,IF(AND($F$22="annual",MOD(C40,4)=0),$F$21/$F$7,IF(AND($F$22="semi-ann",MOD(C40,2)=0),$F$21/(2*$F$7),IF($F$22="quarterly",$F$21/(4*$F$7),0)))))*F40),0)</f>
        <v>0</v>
      </c>
      <c r="X40" s="63">
        <f t="shared" ref="X40:X55" si="8">$F$21*$F$11*P40*((1+$F$18)^(C40/4))*F40</f>
        <v>319982.78747207677</v>
      </c>
      <c r="Y40" s="63">
        <f>-$F$21*$F$12*IF($F$28="risk",P40*F40,IF($F$28="policies IF",F40/($F$7*4),1/($F$7*4)))</f>
        <v>-79796.948259642959</v>
      </c>
      <c r="Z40" s="63">
        <v>0</v>
      </c>
      <c r="AA40" s="63">
        <f t="shared" ref="AA40:AA55" ca="1" si="9">IF($F$25="no",0,1)*(F40-F39)*OFFSET(W40,-IF($F$22="single",C40,IF($F$22="annual",MOD(C40,4),IF($F$22="semi-ann",MOD(C40,2),0))),0)*IF($F$22="single",($F$7*4-C40)/($F$7*4),IF(AND($F$22="annual",MOD(C40,4)&lt;&gt;0),(4-MOD(C40,4))/4,IF(AND($F$22="semi-ann",MOD(C40,2)&lt;&gt;0),0.5,0)))</f>
        <v>30520.344935713594</v>
      </c>
      <c r="AB40" s="64">
        <f t="shared" ref="AB40:AB47" ca="1" si="10">SUM(W40:AA40)</f>
        <v>270706.18414814741</v>
      </c>
      <c r="AC40" s="51"/>
      <c r="AD40" s="51">
        <f t="shared" si="0"/>
        <v>0</v>
      </c>
      <c r="AE40" s="64">
        <f t="shared" ref="AE40:AE55" si="11">X40*$D40</f>
        <v>318402.57726836216</v>
      </c>
      <c r="AF40" s="64">
        <f t="shared" ref="AF40:AF55" si="12">Y40*$D40</f>
        <v>-79402.877213317755</v>
      </c>
      <c r="AG40" s="51">
        <f t="shared" si="1"/>
        <v>0</v>
      </c>
      <c r="AH40" s="64">
        <f t="shared" ref="AH40:AH55" ca="1" si="13">AA40*$D40</f>
        <v>30369.622576960115</v>
      </c>
      <c r="AI40" s="64">
        <f t="shared" ref="AI40:AI47" ca="1" si="14">SUM(AD40:AH40)</f>
        <v>269369.32263200451</v>
      </c>
      <c r="AJ40" s="11"/>
      <c r="AK40" s="51">
        <f ca="1">SUM(AD40:AD$55,AG40:AG$55)/D40+SUM(AE41:AF$56,AH41:AH$55)/D40</f>
        <v>-2573440.5930770515</v>
      </c>
      <c r="AL40" s="51">
        <f>SUM(AE41:$AF$56)*$F$14/D40</f>
        <v>117313.26736525733</v>
      </c>
      <c r="AM40" s="19"/>
      <c r="AN40" s="51">
        <f ca="1">-SUM(AD40:$AD$56,AH40:$AH$56)/D40</f>
        <v>4889185.5954464832</v>
      </c>
      <c r="AO40" s="51">
        <f ca="1">-SUM(W40:$W$56,AA40:$AA$56)</f>
        <v>5039393.2976012006</v>
      </c>
      <c r="AP40" s="19"/>
      <c r="AQ40" s="126"/>
      <c r="AR40" s="19"/>
      <c r="AS40" s="19"/>
    </row>
    <row r="41" spans="1:63" outlineLevel="1" x14ac:dyDescent="0.55000000000000004">
      <c r="A41" s="9"/>
      <c r="B41" s="1" t="s">
        <v>7</v>
      </c>
      <c r="C41" s="3">
        <v>2</v>
      </c>
      <c r="D41" s="87">
        <f t="shared" si="2"/>
        <v>0.99014754297667418</v>
      </c>
      <c r="E41" s="4"/>
      <c r="F41" s="84">
        <f t="shared" si="3"/>
        <v>0.89442719099991586</v>
      </c>
      <c r="G41" s="84">
        <f t="shared" ref="G41:G47" si="15">AVERAGE(F40:F41)</f>
        <v>0.92008440000154579</v>
      </c>
      <c r="H41" s="84">
        <f t="shared" ref="H41:H47" si="16">F41*D41</f>
        <v>0.88561488554009515</v>
      </c>
      <c r="I41" s="4"/>
      <c r="J41" s="98">
        <v>1</v>
      </c>
      <c r="K41" s="94">
        <f t="shared" si="4"/>
        <v>6.25E-2</v>
      </c>
      <c r="L41" s="47">
        <f t="shared" ref="L41:L47" si="17">J41*G41</f>
        <v>0.92008440000154579</v>
      </c>
      <c r="M41" s="47">
        <f t="shared" ref="M41:M47" si="18">L41*D41</f>
        <v>0.91101930799269804</v>
      </c>
      <c r="N41" s="4"/>
      <c r="O41" s="98">
        <v>1</v>
      </c>
      <c r="P41" s="94">
        <f t="shared" si="5"/>
        <v>6.25E-2</v>
      </c>
      <c r="Q41" s="47">
        <f t="shared" ref="Q41:Q47" si="19">O41*G41</f>
        <v>0.92008440000154579</v>
      </c>
      <c r="R41" s="47">
        <f t="shared" ref="R41:R47" si="20">Q41*D41</f>
        <v>0.91101930799269804</v>
      </c>
      <c r="S41" s="51"/>
      <c r="T41" s="137">
        <v>0.17818906429460918</v>
      </c>
      <c r="U41" s="135">
        <f t="shared" si="6"/>
        <v>0.17818906429460918</v>
      </c>
      <c r="W41" s="63">
        <f t="shared" si="7"/>
        <v>-1006230.5898749053</v>
      </c>
      <c r="X41" s="63">
        <f t="shared" si="8"/>
        <v>303374.76823229709</v>
      </c>
      <c r="Y41" s="63">
        <f t="shared" ref="Y41:Y55" si="21">-$F$21*$F$12*IF($F$28="risk",P41*F41,IF($F$28="policies IF",F41/($F$7*4),1/($F$7*4)))</f>
        <v>-75467.294240617906</v>
      </c>
      <c r="Z41" s="63">
        <v>0</v>
      </c>
      <c r="AA41" s="63">
        <f t="shared" ca="1" si="9"/>
        <v>0</v>
      </c>
      <c r="AB41" s="64">
        <f t="shared" ca="1" si="10"/>
        <v>-778323.11588322604</v>
      </c>
      <c r="AC41" s="51"/>
      <c r="AD41" s="51">
        <f t="shared" si="0"/>
        <v>-996316.74623260705</v>
      </c>
      <c r="AE41" s="64">
        <f t="shared" si="11"/>
        <v>300385.78136632696</v>
      </c>
      <c r="AF41" s="64">
        <f t="shared" si="12"/>
        <v>-74723.755967445541</v>
      </c>
      <c r="AG41" s="51">
        <f t="shared" si="1"/>
        <v>0</v>
      </c>
      <c r="AH41" s="64">
        <f t="shared" ca="1" si="13"/>
        <v>0</v>
      </c>
      <c r="AI41" s="64">
        <f t="shared" ca="1" si="14"/>
        <v>-770654.72083372565</v>
      </c>
      <c r="AJ41" s="57"/>
      <c r="AK41" s="51">
        <f ca="1">SUM(AD41:AD$55,AG41:AG$55)/D41+SUM(AE42:AF$56,AH42:AH$55)/D41</f>
        <v>-2814119.8766398765</v>
      </c>
      <c r="AL41" s="51">
        <f>SUM(AE42:$AF$56)*$F$14/D41</f>
        <v>106500.11138423614</v>
      </c>
      <c r="AM41" s="19"/>
      <c r="AN41" s="51">
        <f ca="1">-SUM(AD41:$AD$56,AH41:$AH$56)/D41</f>
        <v>4944122.1043245979</v>
      </c>
      <c r="AO41" s="51">
        <f ca="1">-SUM(W41:$W$56,AA41:$AA$56)</f>
        <v>5069913.642536914</v>
      </c>
      <c r="AP41" s="19"/>
      <c r="AQ41" s="126"/>
      <c r="AR41" s="19"/>
      <c r="AS41" s="19"/>
    </row>
    <row r="42" spans="1:63" outlineLevel="1" x14ac:dyDescent="0.55000000000000004">
      <c r="A42" s="9"/>
      <c r="B42" s="1" t="s">
        <v>8</v>
      </c>
      <c r="C42" s="3">
        <v>3</v>
      </c>
      <c r="D42" s="87">
        <f t="shared" si="2"/>
        <v>0.98525777605216036</v>
      </c>
      <c r="E42" s="4"/>
      <c r="F42" s="84">
        <f>(1-$F$19)^(C42/4)</f>
        <v>0.84589701075245127</v>
      </c>
      <c r="G42" s="84">
        <f t="shared" si="15"/>
        <v>0.87016210087618351</v>
      </c>
      <c r="H42" s="84">
        <f t="shared" si="16"/>
        <v>0.83342660758313047</v>
      </c>
      <c r="I42" s="4"/>
      <c r="J42" s="98">
        <v>1</v>
      </c>
      <c r="K42" s="94">
        <f t="shared" si="4"/>
        <v>6.25E-2</v>
      </c>
      <c r="L42" s="47">
        <f t="shared" si="17"/>
        <v>0.87016210087618351</v>
      </c>
      <c r="M42" s="47">
        <f t="shared" si="18"/>
        <v>0.85733397631414421</v>
      </c>
      <c r="N42" s="4"/>
      <c r="O42" s="98">
        <v>1</v>
      </c>
      <c r="P42" s="94">
        <f t="shared" si="5"/>
        <v>6.25E-2</v>
      </c>
      <c r="Q42" s="47">
        <f t="shared" si="19"/>
        <v>0.87016210087618351</v>
      </c>
      <c r="R42" s="47">
        <f t="shared" si="20"/>
        <v>0.85733397631414421</v>
      </c>
      <c r="S42" s="51"/>
      <c r="T42" s="137">
        <v>0.20194032380116383</v>
      </c>
      <c r="U42" s="135">
        <f t="shared" si="6"/>
        <v>0.20194032380116383</v>
      </c>
      <c r="W42" s="63">
        <f t="shared" si="7"/>
        <v>0</v>
      </c>
      <c r="X42" s="63">
        <f t="shared" si="8"/>
        <v>287628.75255604647</v>
      </c>
      <c r="Y42" s="63">
        <f t="shared" si="21"/>
        <v>-71372.560282238075</v>
      </c>
      <c r="Z42" s="63">
        <v>0</v>
      </c>
      <c r="AA42" s="63">
        <f t="shared" ca="1" si="9"/>
        <v>24416.275948570881</v>
      </c>
      <c r="AB42" s="64">
        <f t="shared" ca="1" si="10"/>
        <v>240672.46822237928</v>
      </c>
      <c r="AC42" s="51"/>
      <c r="AD42" s="51">
        <f t="shared" si="0"/>
        <v>0</v>
      </c>
      <c r="AE42" s="64">
        <f t="shared" si="11"/>
        <v>283388.46507202747</v>
      </c>
      <c r="AF42" s="64">
        <f t="shared" si="12"/>
        <v>-70320.370014826636</v>
      </c>
      <c r="AG42" s="51">
        <f t="shared" si="1"/>
        <v>0</v>
      </c>
      <c r="AH42" s="64">
        <f t="shared" ca="1" si="13"/>
        <v>24056.3257405648</v>
      </c>
      <c r="AI42" s="64">
        <f t="shared" ca="1" si="14"/>
        <v>237124.4207977656</v>
      </c>
      <c r="AJ42" s="57"/>
      <c r="AK42" s="51">
        <f ca="1">SUM(AD42:AD$55,AG42:AG$55)/D42+SUM(AE43:AF$56,AH43:AH$55)/D42</f>
        <v>-2057534.1858094926</v>
      </c>
      <c r="AL42" s="51">
        <f>SUM(AE43:$AF$56)*$F$14/D42</f>
        <v>96215.854535884253</v>
      </c>
      <c r="AM42" s="19"/>
      <c r="AN42" s="51">
        <f ca="1">-SUM(AD42:$AD$56,AH42:$AH$56)/D42</f>
        <v>3957435.000578607</v>
      </c>
      <c r="AO42" s="51">
        <f ca="1">-SUM(W42:$W$56,AA42:$AA$56)</f>
        <v>4063683.0526620103</v>
      </c>
      <c r="AP42" s="19"/>
      <c r="AQ42" s="126"/>
      <c r="AR42" s="19"/>
      <c r="AS42" s="19"/>
    </row>
    <row r="43" spans="1:63" outlineLevel="1" x14ac:dyDescent="0.55000000000000004">
      <c r="A43" s="9"/>
      <c r="B43" s="1" t="s">
        <v>9</v>
      </c>
      <c r="C43" s="3">
        <v>4</v>
      </c>
      <c r="D43" s="87">
        <f t="shared" si="2"/>
        <v>0.98039215686274483</v>
      </c>
      <c r="E43" s="4"/>
      <c r="F43" s="84">
        <f t="shared" si="3"/>
        <v>0.8</v>
      </c>
      <c r="G43" s="84">
        <f t="shared" si="15"/>
        <v>0.82294850537622566</v>
      </c>
      <c r="H43" s="84">
        <f t="shared" si="16"/>
        <v>0.78431372549019596</v>
      </c>
      <c r="I43" s="4"/>
      <c r="J43" s="98">
        <v>1</v>
      </c>
      <c r="K43" s="94">
        <f t="shared" si="4"/>
        <v>6.25E-2</v>
      </c>
      <c r="L43" s="47">
        <f t="shared" si="17"/>
        <v>0.82294850537622566</v>
      </c>
      <c r="M43" s="47">
        <f t="shared" si="18"/>
        <v>0.80681226017277008</v>
      </c>
      <c r="N43" s="4"/>
      <c r="O43" s="98">
        <v>1</v>
      </c>
      <c r="P43" s="94">
        <f t="shared" si="5"/>
        <v>6.25E-2</v>
      </c>
      <c r="Q43" s="47">
        <f t="shared" si="19"/>
        <v>0.82294850537622566</v>
      </c>
      <c r="R43" s="47">
        <f t="shared" si="20"/>
        <v>0.80681226017277008</v>
      </c>
      <c r="S43" s="51"/>
      <c r="T43" s="137">
        <v>0.20709640104961757</v>
      </c>
      <c r="U43" s="135">
        <f t="shared" si="6"/>
        <v>0.20709640104961757</v>
      </c>
      <c r="W43" s="63">
        <f t="shared" si="7"/>
        <v>-900000</v>
      </c>
      <c r="X43" s="63">
        <f t="shared" si="8"/>
        <v>272700</v>
      </c>
      <c r="Y43" s="63">
        <f t="shared" si="21"/>
        <v>-67500</v>
      </c>
      <c r="Z43" s="63">
        <v>0</v>
      </c>
      <c r="AA43" s="63">
        <f t="shared" ca="1" si="9"/>
        <v>0</v>
      </c>
      <c r="AB43" s="64">
        <f t="shared" ca="1" si="10"/>
        <v>-694800</v>
      </c>
      <c r="AC43" s="51"/>
      <c r="AD43" s="51">
        <f t="shared" si="0"/>
        <v>-882352.94117647037</v>
      </c>
      <c r="AE43" s="64">
        <f t="shared" si="11"/>
        <v>267352.94117647054</v>
      </c>
      <c r="AF43" s="64">
        <f t="shared" si="12"/>
        <v>-66176.470588235272</v>
      </c>
      <c r="AG43" s="51">
        <f t="shared" si="1"/>
        <v>0</v>
      </c>
      <c r="AH43" s="64">
        <f t="shared" ca="1" si="13"/>
        <v>0</v>
      </c>
      <c r="AI43" s="64">
        <f t="shared" ca="1" si="14"/>
        <v>-681176.47058823507</v>
      </c>
      <c r="AJ43" s="57"/>
      <c r="AK43" s="51">
        <f ca="1">SUM(AD43:AD$55,AG43:AG$55)/D43+SUM(AE44:AF$56,AH44:AH$55)/D43</f>
        <v>-2272945.5871831928</v>
      </c>
      <c r="AL43" s="51">
        <f>SUM(AE44:$AF$56)*$F$14/D43</f>
        <v>86433.36723820318</v>
      </c>
      <c r="AM43" s="19"/>
      <c r="AN43" s="51">
        <f ca="1">-SUM(AD43:$AD$56,AH43:$AH$56)/D43</f>
        <v>4001612.9319472564</v>
      </c>
      <c r="AO43" s="51">
        <f ca="1">-SUM(W43:$W$56,AA43:$AA$56)</f>
        <v>4088099.3286105813</v>
      </c>
      <c r="AP43" s="19"/>
      <c r="AQ43" s="126"/>
      <c r="AR43" s="19"/>
      <c r="AS43" s="19"/>
    </row>
    <row r="44" spans="1:63" outlineLevel="1" x14ac:dyDescent="0.55000000000000004">
      <c r="A44" s="9"/>
      <c r="B44" s="1" t="s">
        <v>15</v>
      </c>
      <c r="C44" s="3">
        <v>5</v>
      </c>
      <c r="D44" s="87">
        <f t="shared" si="2"/>
        <v>0.97555056615670888</v>
      </c>
      <c r="E44" s="4"/>
      <c r="F44" s="84">
        <f t="shared" si="3"/>
        <v>0.75659328720254071</v>
      </c>
      <c r="G44" s="84">
        <f t="shared" si="15"/>
        <v>0.77829664360127038</v>
      </c>
      <c r="H44" s="84">
        <f t="shared" si="16"/>
        <v>0.73809500968080399</v>
      </c>
      <c r="I44" s="4"/>
      <c r="J44" s="98">
        <v>1</v>
      </c>
      <c r="K44" s="94">
        <f t="shared" si="4"/>
        <v>6.25E-2</v>
      </c>
      <c r="L44" s="47">
        <f t="shared" si="17"/>
        <v>0.77829664360127038</v>
      </c>
      <c r="M44" s="47">
        <f t="shared" si="18"/>
        <v>0.75926773130308556</v>
      </c>
      <c r="N44" s="4"/>
      <c r="O44" s="98">
        <v>1</v>
      </c>
      <c r="P44" s="94">
        <f t="shared" si="5"/>
        <v>6.25E-2</v>
      </c>
      <c r="Q44" s="47">
        <f t="shared" si="19"/>
        <v>0.77829664360127038</v>
      </c>
      <c r="R44" s="47">
        <f t="shared" si="20"/>
        <v>0.75926773130308556</v>
      </c>
      <c r="S44" s="51"/>
      <c r="T44" s="137">
        <v>8.3175297485096111E-2</v>
      </c>
      <c r="U44" s="135">
        <f t="shared" si="6"/>
        <v>8.3175297485096111E-2</v>
      </c>
      <c r="W44" s="63">
        <f t="shared" si="7"/>
        <v>0</v>
      </c>
      <c r="X44" s="63">
        <f t="shared" si="8"/>
        <v>258546.09227743812</v>
      </c>
      <c r="Y44" s="63">
        <f t="shared" si="21"/>
        <v>-63837.558607714374</v>
      </c>
      <c r="Z44" s="63">
        <v>0</v>
      </c>
      <c r="AA44" s="63">
        <f t="shared" ca="1" si="9"/>
        <v>19533.020758856699</v>
      </c>
      <c r="AB44" s="64">
        <f t="shared" ca="1" si="10"/>
        <v>214241.55442858045</v>
      </c>
      <c r="AC44" s="51"/>
      <c r="AD44" s="51">
        <f t="shared" si="0"/>
        <v>0</v>
      </c>
      <c r="AE44" s="64">
        <f t="shared" si="11"/>
        <v>252224.78669885945</v>
      </c>
      <c r="AF44" s="64">
        <f t="shared" si="12"/>
        <v>-62276.766441817839</v>
      </c>
      <c r="AG44" s="51">
        <f t="shared" si="1"/>
        <v>0</v>
      </c>
      <c r="AH44" s="64">
        <f t="shared" ca="1" si="13"/>
        <v>19055.449460053402</v>
      </c>
      <c r="AI44" s="64">
        <f t="shared" ca="1" si="14"/>
        <v>209003.46971709502</v>
      </c>
      <c r="AJ44" s="57"/>
      <c r="AK44" s="51">
        <f ca="1">SUM(AD44:AD$55,AG44:AG$55)/D44+SUM(AE45:AF$56,AH45:AH$55)/D44</f>
        <v>-1594000.9766146953</v>
      </c>
      <c r="AL44" s="51">
        <f>SUM(AE45:$AF$56)*$F$14/D44</f>
        <v>77126.903441961811</v>
      </c>
      <c r="AM44" s="19"/>
      <c r="AN44" s="51">
        <f ca="1">-SUM(AD44:$AD$56,AH44:$AH$56)/D44</f>
        <v>3117006.0246950747</v>
      </c>
      <c r="AO44" s="51">
        <f ca="1">-SUM(W44:$W$56,AA44:$AA$56)</f>
        <v>3188099.3286105813</v>
      </c>
      <c r="AP44" s="19"/>
      <c r="AQ44" s="126"/>
      <c r="AR44" s="19"/>
      <c r="AS44" s="19"/>
    </row>
    <row r="45" spans="1:63" outlineLevel="1" x14ac:dyDescent="0.55000000000000004">
      <c r="A45" s="9"/>
      <c r="B45" s="1" t="s">
        <v>16</v>
      </c>
      <c r="C45" s="3">
        <v>6</v>
      </c>
      <c r="D45" s="87">
        <f t="shared" si="2"/>
        <v>0.9707328852712489</v>
      </c>
      <c r="E45" s="4"/>
      <c r="F45" s="84">
        <f t="shared" si="3"/>
        <v>0.71554175279993271</v>
      </c>
      <c r="G45" s="84">
        <f t="shared" si="15"/>
        <v>0.73606752000123676</v>
      </c>
      <c r="H45" s="84">
        <f t="shared" si="16"/>
        <v>0.69459991022752543</v>
      </c>
      <c r="I45" s="4"/>
      <c r="J45" s="98">
        <v>1</v>
      </c>
      <c r="K45" s="94">
        <f t="shared" si="4"/>
        <v>6.25E-2</v>
      </c>
      <c r="L45" s="47">
        <f t="shared" si="17"/>
        <v>0.73606752000123676</v>
      </c>
      <c r="M45" s="47">
        <f t="shared" si="18"/>
        <v>0.7145249474452533</v>
      </c>
      <c r="N45" s="4"/>
      <c r="O45" s="98">
        <v>1</v>
      </c>
      <c r="P45" s="94">
        <f t="shared" si="5"/>
        <v>6.25E-2</v>
      </c>
      <c r="Q45" s="47">
        <f t="shared" si="19"/>
        <v>0.73606752000123676</v>
      </c>
      <c r="R45" s="47">
        <f t="shared" si="20"/>
        <v>0.7145249474452533</v>
      </c>
      <c r="S45" s="51"/>
      <c r="T45" s="137">
        <v>5.1890782453176132E-2</v>
      </c>
      <c r="U45" s="135">
        <f t="shared" si="6"/>
        <v>5.1890782453176132E-2</v>
      </c>
      <c r="W45" s="63">
        <f t="shared" si="7"/>
        <v>-804984.47189992433</v>
      </c>
      <c r="X45" s="63">
        <f t="shared" si="8"/>
        <v>245126.81273169606</v>
      </c>
      <c r="Y45" s="63">
        <f t="shared" si="21"/>
        <v>-60373.835392494322</v>
      </c>
      <c r="Z45" s="63">
        <v>0</v>
      </c>
      <c r="AA45" s="63">
        <f t="shared" ca="1" si="9"/>
        <v>0</v>
      </c>
      <c r="AB45" s="64">
        <f t="shared" ca="1" si="10"/>
        <v>-620231.49456072261</v>
      </c>
      <c r="AC45" s="51"/>
      <c r="AD45" s="51">
        <f t="shared" si="0"/>
        <v>-781424.89900596614</v>
      </c>
      <c r="AE45" s="64">
        <f t="shared" si="11"/>
        <v>237952.65818038443</v>
      </c>
      <c r="AF45" s="64">
        <f t="shared" si="12"/>
        <v>-58606.867425447461</v>
      </c>
      <c r="AG45" s="51">
        <f t="shared" si="1"/>
        <v>0</v>
      </c>
      <c r="AH45" s="64">
        <f t="shared" ca="1" si="13"/>
        <v>0</v>
      </c>
      <c r="AI45" s="64">
        <f t="shared" ca="1" si="14"/>
        <v>-602079.10825102916</v>
      </c>
      <c r="AJ45" s="57"/>
      <c r="AK45" s="51">
        <f ca="1">SUM(AD45:AD$55,AG45:AG$55)/D45+SUM(AE46:AF$56,AH46:AH$55)/D45</f>
        <v>-1786664.8717284561</v>
      </c>
      <c r="AL45" s="51">
        <f>SUM(AE46:$AF$56)*$F$14/D45</f>
        <v>68272.030119237257</v>
      </c>
      <c r="AM45" s="19"/>
      <c r="AN45" s="51">
        <f ca="1">-SUM(AD45:$AD$56,AH45:$AH$56)/D45</f>
        <v>3152105.4741132013</v>
      </c>
      <c r="AO45" s="51">
        <f ca="1">-SUM(W45:$W$56,AA45:$AA$56)</f>
        <v>3207632.3493694379</v>
      </c>
      <c r="AP45" s="19"/>
      <c r="AQ45" s="19"/>
      <c r="AR45" s="19"/>
      <c r="AS45" s="19"/>
    </row>
    <row r="46" spans="1:63" outlineLevel="1" x14ac:dyDescent="0.55000000000000004">
      <c r="A46" s="9"/>
      <c r="B46" s="1" t="s">
        <v>17</v>
      </c>
      <c r="C46" s="3">
        <v>7</v>
      </c>
      <c r="D46" s="87">
        <f t="shared" si="2"/>
        <v>0.96593899612956868</v>
      </c>
      <c r="E46" s="4"/>
      <c r="F46" s="84">
        <f t="shared" si="3"/>
        <v>0.67671760860196106</v>
      </c>
      <c r="G46" s="84">
        <f t="shared" si="15"/>
        <v>0.69612968070094694</v>
      </c>
      <c r="H46" s="84">
        <f t="shared" si="16"/>
        <v>0.65366792751618064</v>
      </c>
      <c r="I46" s="4"/>
      <c r="J46" s="98">
        <v>1</v>
      </c>
      <c r="K46" s="94">
        <f t="shared" si="4"/>
        <v>6.25E-2</v>
      </c>
      <c r="L46" s="47">
        <f t="shared" si="17"/>
        <v>0.69612968070094694</v>
      </c>
      <c r="M46" s="47">
        <f t="shared" si="18"/>
        <v>0.67241880495226991</v>
      </c>
      <c r="N46" s="4"/>
      <c r="O46" s="98">
        <v>1</v>
      </c>
      <c r="P46" s="94">
        <f t="shared" si="5"/>
        <v>6.25E-2</v>
      </c>
      <c r="Q46" s="47">
        <f t="shared" si="19"/>
        <v>0.69612968070094694</v>
      </c>
      <c r="R46" s="47">
        <f t="shared" si="20"/>
        <v>0.67241880495226991</v>
      </c>
      <c r="S46" s="51"/>
      <c r="T46" s="137">
        <v>2.7830892374108518E-2</v>
      </c>
      <c r="U46" s="135">
        <f t="shared" si="6"/>
        <v>2.7830892374108518E-2</v>
      </c>
      <c r="W46" s="63">
        <f t="shared" si="7"/>
        <v>0</v>
      </c>
      <c r="X46" s="63">
        <f t="shared" si="8"/>
        <v>232404.0320652856</v>
      </c>
      <c r="Y46" s="63">
        <f t="shared" si="21"/>
        <v>-57098.048225790466</v>
      </c>
      <c r="Z46" s="63">
        <v>0</v>
      </c>
      <c r="AA46" s="63">
        <f t="shared" ca="1" si="9"/>
        <v>15626.416607085357</v>
      </c>
      <c r="AB46" s="64">
        <f t="shared" ca="1" si="10"/>
        <v>190932.40044658049</v>
      </c>
      <c r="AC46" s="51"/>
      <c r="AD46" s="51">
        <f t="shared" si="0"/>
        <v>0</v>
      </c>
      <c r="AE46" s="64">
        <f t="shared" si="11"/>
        <v>224488.11742960606</v>
      </c>
      <c r="AF46" s="64">
        <f t="shared" si="12"/>
        <v>-55153.231384177743</v>
      </c>
      <c r="AG46" s="51">
        <f t="shared" si="1"/>
        <v>0</v>
      </c>
      <c r="AH46" s="64">
        <f t="shared" ca="1" si="13"/>
        <v>15094.16517055045</v>
      </c>
      <c r="AI46" s="64">
        <f t="shared" ca="1" si="14"/>
        <v>184429.05121597878</v>
      </c>
      <c r="AJ46" s="57"/>
      <c r="AK46" s="51">
        <f ca="1">SUM(AD46:AD$55,AG46:AG$55)/D46+SUM(AE47:AF$56,AH47:AH$55)/D46</f>
        <v>-1177484.8129262163</v>
      </c>
      <c r="AL46" s="51">
        <f>SUM(AE47:$AF$56)*$F$14/D46</f>
        <v>59845.560341107986</v>
      </c>
      <c r="AM46" s="19"/>
      <c r="AN46" s="51">
        <f ca="1">-SUM(AD46:$AD$56,AH46:$AH$56)/D46</f>
        <v>2358769.6031412906</v>
      </c>
      <c r="AO46" s="51">
        <f ca="1">-SUM(W46:$W$56,AA46:$AA$56)</f>
        <v>2402647.8774695136</v>
      </c>
      <c r="AP46" s="19"/>
      <c r="AQ46" s="19"/>
      <c r="AR46" s="19"/>
      <c r="AS46" s="19"/>
    </row>
    <row r="47" spans="1:63" outlineLevel="1" x14ac:dyDescent="0.55000000000000004">
      <c r="A47" s="9"/>
      <c r="B47" s="1" t="s">
        <v>18</v>
      </c>
      <c r="C47" s="3">
        <v>8</v>
      </c>
      <c r="D47" s="87">
        <f t="shared" si="2"/>
        <v>0.96116878123798488</v>
      </c>
      <c r="E47" s="4"/>
      <c r="F47" s="84">
        <f t="shared" si="3"/>
        <v>0.64000000000000012</v>
      </c>
      <c r="G47" s="84">
        <f t="shared" si="15"/>
        <v>0.65835880430098059</v>
      </c>
      <c r="H47" s="84">
        <f t="shared" si="16"/>
        <v>0.61514801999231039</v>
      </c>
      <c r="I47" s="4"/>
      <c r="J47" s="98">
        <v>1</v>
      </c>
      <c r="K47" s="94">
        <f t="shared" si="4"/>
        <v>6.25E-2</v>
      </c>
      <c r="L47" s="47">
        <f t="shared" si="17"/>
        <v>0.65835880430098059</v>
      </c>
      <c r="M47" s="47">
        <f t="shared" si="18"/>
        <v>0.63279392954727054</v>
      </c>
      <c r="N47" s="4"/>
      <c r="O47" s="98">
        <v>1</v>
      </c>
      <c r="P47" s="94">
        <f t="shared" si="5"/>
        <v>6.25E-2</v>
      </c>
      <c r="Q47" s="47">
        <f t="shared" si="19"/>
        <v>0.65835880430098059</v>
      </c>
      <c r="R47" s="47">
        <f t="shared" si="20"/>
        <v>0.63279392954727054</v>
      </c>
      <c r="S47" s="51"/>
      <c r="T47" s="137">
        <v>1.5225286106495761E-2</v>
      </c>
      <c r="U47" s="135">
        <f t="shared" si="6"/>
        <v>1.5225286106495761E-2</v>
      </c>
      <c r="W47" s="63">
        <f t="shared" si="7"/>
        <v>-720000.00000000012</v>
      </c>
      <c r="X47" s="63">
        <f t="shared" si="8"/>
        <v>220341.60000000003</v>
      </c>
      <c r="Y47" s="63">
        <f t="shared" si="21"/>
        <v>-54000.000000000007</v>
      </c>
      <c r="Z47" s="63">
        <v>0</v>
      </c>
      <c r="AA47" s="63">
        <f t="shared" ca="1" si="9"/>
        <v>0</v>
      </c>
      <c r="AB47" s="64">
        <f t="shared" ca="1" si="10"/>
        <v>-553658.40000000014</v>
      </c>
      <c r="AC47" s="51"/>
      <c r="AD47" s="51">
        <f t="shared" si="0"/>
        <v>-692041.52249134926</v>
      </c>
      <c r="AE47" s="64">
        <f t="shared" si="11"/>
        <v>211785.46712802761</v>
      </c>
      <c r="AF47" s="64">
        <f t="shared" si="12"/>
        <v>-51903.114186851191</v>
      </c>
      <c r="AG47" s="51">
        <f t="shared" si="1"/>
        <v>0</v>
      </c>
      <c r="AH47" s="64">
        <f t="shared" ca="1" si="13"/>
        <v>0</v>
      </c>
      <c r="AI47" s="64">
        <f t="shared" ca="1" si="14"/>
        <v>-532159.16955017287</v>
      </c>
      <c r="AJ47" s="57"/>
      <c r="AK47" s="51">
        <f ca="1">SUM(AD47:AD$55,AG47:AG$55)/D47+SUM(AE48:AF$56,AH48:AH$55)/D47</f>
        <v>-1349670.1894812561</v>
      </c>
      <c r="AL47" s="51">
        <f>SUM(AE48:$AF$56)*$F$14/D47</f>
        <v>51825.489762040925</v>
      </c>
      <c r="AM47" s="19"/>
      <c r="AN47" s="51">
        <f ca="1">-SUM(AD47:$AD$56,AH47:$AH$56)/D47</f>
        <v>2386179.9847220746</v>
      </c>
      <c r="AO47" s="51">
        <f ca="1">-SUM(W47:$W$56,AA47:$AA$56)</f>
        <v>2418274.2940765987</v>
      </c>
      <c r="AP47" s="19"/>
      <c r="AQ47" s="19"/>
      <c r="AR47" s="19"/>
      <c r="AS47" s="19"/>
    </row>
    <row r="48" spans="1:63" outlineLevel="1" x14ac:dyDescent="0.55000000000000004">
      <c r="A48" s="9"/>
      <c r="B48" s="1" t="s">
        <v>19</v>
      </c>
      <c r="C48" s="3">
        <v>9</v>
      </c>
      <c r="D48" s="87">
        <f t="shared" si="2"/>
        <v>0.95642212368304769</v>
      </c>
      <c r="E48" s="4"/>
      <c r="F48" s="84">
        <f t="shared" ref="F48:F55" si="22">(1-$F$19)^(C48/4)</f>
        <v>0.60527462976203261</v>
      </c>
      <c r="G48" s="84">
        <f t="shared" ref="G48:G55" si="23">AVERAGE(F47:F48)</f>
        <v>0.62263731488101637</v>
      </c>
      <c r="H48" s="84">
        <f t="shared" ref="H48:H55" si="24">F48*D48</f>
        <v>0.57889804680847368</v>
      </c>
      <c r="I48" s="4"/>
      <c r="J48" s="98">
        <v>1</v>
      </c>
      <c r="K48" s="94">
        <f t="shared" ref="K48:K55" si="25">J48/$J$58</f>
        <v>6.25E-2</v>
      </c>
      <c r="L48" s="47">
        <f t="shared" ref="L48:L55" si="26">J48*G48</f>
        <v>0.62263731488101637</v>
      </c>
      <c r="M48" s="47">
        <f t="shared" ref="M48:M55" si="27">L48*D48</f>
        <v>0.5955041029828122</v>
      </c>
      <c r="N48" s="4"/>
      <c r="O48" s="98">
        <v>1</v>
      </c>
      <c r="P48" s="94">
        <f t="shared" ref="P48:P55" si="28">O48/$O$58</f>
        <v>6.25E-2</v>
      </c>
      <c r="Q48" s="47">
        <f t="shared" ref="Q48:Q55" si="29">O48*G48</f>
        <v>0.62263731488101637</v>
      </c>
      <c r="R48" s="47">
        <f t="shared" ref="R48:R55" si="30">Q48*D48</f>
        <v>0.5955041029828122</v>
      </c>
      <c r="S48" s="51"/>
      <c r="T48" s="137">
        <v>1.3868361840445591E-2</v>
      </c>
      <c r="U48" s="135">
        <f t="shared" si="6"/>
        <v>1.3868361840445591E-2</v>
      </c>
      <c r="W48" s="63">
        <f t="shared" si="7"/>
        <v>0</v>
      </c>
      <c r="X48" s="63">
        <f t="shared" si="8"/>
        <v>208905.24256017001</v>
      </c>
      <c r="Y48" s="63">
        <f t="shared" si="21"/>
        <v>-51070.046886171498</v>
      </c>
      <c r="Z48" s="63">
        <v>0</v>
      </c>
      <c r="AA48" s="63">
        <f t="shared" ca="1" si="9"/>
        <v>12501.133285668306</v>
      </c>
      <c r="AB48" s="64">
        <f t="shared" ref="AB48:AB55" ca="1" si="31">SUM(W48:AA48)</f>
        <v>170336.3289596668</v>
      </c>
      <c r="AC48" s="51"/>
      <c r="AD48" s="51">
        <f t="shared" si="0"/>
        <v>0</v>
      </c>
      <c r="AE48" s="64">
        <f t="shared" si="11"/>
        <v>199801.59573792</v>
      </c>
      <c r="AF48" s="64">
        <f t="shared" si="12"/>
        <v>-48844.522699464964</v>
      </c>
      <c r="AG48" s="51">
        <f t="shared" si="1"/>
        <v>0</v>
      </c>
      <c r="AH48" s="64">
        <f t="shared" ca="1" si="13"/>
        <v>11956.360445523716</v>
      </c>
      <c r="AI48" s="64">
        <f t="shared" ref="AI48:AI55" ca="1" si="32">SUM(AD48:AH48)</f>
        <v>162913.43348397876</v>
      </c>
      <c r="AJ48" s="57"/>
      <c r="AK48" s="51">
        <f ca="1">SUM(AD48:AD$55,AG48:AG$55)/D48+SUM(AE49:AF$56,AH49:AH$55)/D48</f>
        <v>-803131.52850500459</v>
      </c>
      <c r="AL48" s="51">
        <f>SUM(AE49:$AF$56)*$F$14/D48</f>
        <v>44190.936337777777</v>
      </c>
      <c r="AM48" s="19"/>
      <c r="AN48" s="51">
        <f ca="1">-SUM(AD48:$AD$56,AH48:$AH$56)/D48</f>
        <v>1674449.121974892</v>
      </c>
      <c r="AO48" s="51">
        <f ca="1">-SUM(W48:$W$56,AA48:$AA$56)</f>
        <v>1698274.2940765985</v>
      </c>
      <c r="AP48" s="19"/>
      <c r="AQ48" s="19"/>
      <c r="AR48" s="19"/>
      <c r="AS48" s="19"/>
    </row>
    <row r="49" spans="1:45" outlineLevel="1" x14ac:dyDescent="0.55000000000000004">
      <c r="A49" s="9"/>
      <c r="B49" s="1" t="s">
        <v>20</v>
      </c>
      <c r="C49" s="3">
        <v>10</v>
      </c>
      <c r="D49" s="87">
        <f t="shared" si="2"/>
        <v>0.95169890712867522</v>
      </c>
      <c r="E49" s="4"/>
      <c r="F49" s="84">
        <f t="shared" si="22"/>
        <v>0.57243340223994621</v>
      </c>
      <c r="G49" s="84">
        <f t="shared" si="23"/>
        <v>0.58885401600098941</v>
      </c>
      <c r="H49" s="84">
        <f t="shared" si="24"/>
        <v>0.54478424331570618</v>
      </c>
      <c r="I49" s="4"/>
      <c r="J49" s="98">
        <v>1</v>
      </c>
      <c r="K49" s="94">
        <f t="shared" si="25"/>
        <v>6.25E-2</v>
      </c>
      <c r="L49" s="47">
        <f t="shared" si="26"/>
        <v>0.58885401600098941</v>
      </c>
      <c r="M49" s="47">
        <f t="shared" si="27"/>
        <v>0.56041172348647306</v>
      </c>
      <c r="N49" s="4"/>
      <c r="O49" s="98">
        <v>1</v>
      </c>
      <c r="P49" s="94">
        <f t="shared" si="28"/>
        <v>6.25E-2</v>
      </c>
      <c r="Q49" s="47">
        <f t="shared" si="29"/>
        <v>0.58885401600098941</v>
      </c>
      <c r="R49" s="47">
        <f t="shared" si="30"/>
        <v>0.56041172348647306</v>
      </c>
      <c r="S49" s="51"/>
      <c r="T49" s="137">
        <v>5.0809898881113407E-3</v>
      </c>
      <c r="U49" s="135">
        <f t="shared" si="6"/>
        <v>5.0809898881113407E-3</v>
      </c>
      <c r="W49" s="63">
        <f t="shared" si="7"/>
        <v>-643987.57751993951</v>
      </c>
      <c r="X49" s="63">
        <f t="shared" si="8"/>
        <v>198062.46468721045</v>
      </c>
      <c r="Y49" s="63">
        <f t="shared" si="21"/>
        <v>-48299.068313995464</v>
      </c>
      <c r="Z49" s="63">
        <v>0</v>
      </c>
      <c r="AA49" s="63">
        <f t="shared" ca="1" si="9"/>
        <v>0</v>
      </c>
      <c r="AB49" s="64">
        <f t="shared" ca="1" si="31"/>
        <v>-494224.1811467245</v>
      </c>
      <c r="AC49" s="51"/>
      <c r="AD49" s="51">
        <f t="shared" si="0"/>
        <v>-612882.2737301694</v>
      </c>
      <c r="AE49" s="64">
        <f t="shared" si="11"/>
        <v>188495.83118603</v>
      </c>
      <c r="AF49" s="64">
        <f t="shared" si="12"/>
        <v>-45966.170529762712</v>
      </c>
      <c r="AG49" s="51">
        <f t="shared" si="1"/>
        <v>0</v>
      </c>
      <c r="AH49" s="64">
        <f t="shared" ca="1" si="13"/>
        <v>0</v>
      </c>
      <c r="AI49" s="64">
        <f t="shared" ca="1" si="32"/>
        <v>-470352.61307390209</v>
      </c>
      <c r="AJ49" s="57"/>
      <c r="AK49" s="51">
        <f ca="1">SUM(AD49:AD$55,AG49:AG$55)/D49+SUM(AE50:AF$56,AH50:AH$55)/D49</f>
        <v>-956880.81169847248</v>
      </c>
      <c r="AL49" s="51">
        <f>SUM(AE50:$AF$56)*$F$14/D49</f>
        <v>36922.083112317232</v>
      </c>
      <c r="AM49" s="19"/>
      <c r="AN49" s="51">
        <f ca="1">-SUM(AD49:$AD$56,AH49:$AH$56)/D49</f>
        <v>1695322.473944817</v>
      </c>
      <c r="AO49" s="51">
        <f ca="1">-SUM(W49:$W$56,AA49:$AA$56)</f>
        <v>1710775.4273622667</v>
      </c>
      <c r="AP49" s="19"/>
      <c r="AQ49" s="19"/>
      <c r="AR49" s="19"/>
      <c r="AS49" s="19"/>
    </row>
    <row r="50" spans="1:45" outlineLevel="1" x14ac:dyDescent="0.55000000000000004">
      <c r="A50" s="9"/>
      <c r="B50" s="1" t="s">
        <v>21</v>
      </c>
      <c r="C50" s="3">
        <v>11</v>
      </c>
      <c r="D50" s="87">
        <f t="shared" si="2"/>
        <v>0.94699901581330248</v>
      </c>
      <c r="E50" s="4"/>
      <c r="F50" s="84">
        <f t="shared" si="22"/>
        <v>0.54137408688156885</v>
      </c>
      <c r="G50" s="84">
        <f t="shared" si="23"/>
        <v>0.55690374456075753</v>
      </c>
      <c r="H50" s="84">
        <f t="shared" si="24"/>
        <v>0.51268072746367099</v>
      </c>
      <c r="I50" s="4"/>
      <c r="J50" s="98">
        <v>1</v>
      </c>
      <c r="K50" s="94">
        <f t="shared" si="25"/>
        <v>6.25E-2</v>
      </c>
      <c r="L50" s="47">
        <f t="shared" si="26"/>
        <v>0.55690374456075753</v>
      </c>
      <c r="M50" s="47">
        <f t="shared" si="27"/>
        <v>0.52738729800178019</v>
      </c>
      <c r="N50" s="4"/>
      <c r="O50" s="98">
        <v>1</v>
      </c>
      <c r="P50" s="94">
        <f t="shared" si="28"/>
        <v>6.25E-2</v>
      </c>
      <c r="Q50" s="47">
        <f t="shared" si="29"/>
        <v>0.55690374456075753</v>
      </c>
      <c r="R50" s="47">
        <f t="shared" si="30"/>
        <v>0.52738729800178019</v>
      </c>
      <c r="S50" s="51"/>
      <c r="T50" s="137">
        <v>6.0769058883075608E-3</v>
      </c>
      <c r="U50" s="135">
        <f t="shared" si="6"/>
        <v>6.0769058883075608E-3</v>
      </c>
      <c r="W50" s="63">
        <f t="shared" si="7"/>
        <v>0</v>
      </c>
      <c r="X50" s="63">
        <f t="shared" si="8"/>
        <v>187782.45790875077</v>
      </c>
      <c r="Y50" s="63">
        <f t="shared" si="21"/>
        <v>-45678.43858063237</v>
      </c>
      <c r="Z50" s="63">
        <v>0</v>
      </c>
      <c r="AA50" s="63">
        <f t="shared" ca="1" si="9"/>
        <v>10000.906628534643</v>
      </c>
      <c r="AB50" s="64">
        <f t="shared" ca="1" si="31"/>
        <v>152104.92595665305</v>
      </c>
      <c r="AC50" s="51"/>
      <c r="AD50" s="51">
        <f t="shared" si="0"/>
        <v>0</v>
      </c>
      <c r="AE50" s="64">
        <f t="shared" si="11"/>
        <v>177829.80282658988</v>
      </c>
      <c r="AF50" s="64">
        <f t="shared" si="12"/>
        <v>-43257.43637974724</v>
      </c>
      <c r="AG50" s="51">
        <f t="shared" si="1"/>
        <v>0</v>
      </c>
      <c r="AH50" s="64">
        <f t="shared" ca="1" si="13"/>
        <v>9470.8487344630412</v>
      </c>
      <c r="AI50" s="64">
        <f t="shared" ca="1" si="32"/>
        <v>144043.21518130568</v>
      </c>
      <c r="AJ50" s="57"/>
      <c r="AK50" s="51">
        <f ca="1">SUM(AD50:AD$55,AG50:AG$55)/D50+SUM(AE51:AF$56,AH51:AH$55)/D50</f>
        <v>-466551.02784613264</v>
      </c>
      <c r="AL50" s="51">
        <f>SUM(AE51:$AF$56)*$F$14/D50</f>
        <v>30000.12391793789</v>
      </c>
      <c r="AM50" s="19"/>
      <c r="AN50" s="51">
        <f ca="1">-SUM(AD50:$AD$56,AH50:$AH$56)/D50</f>
        <v>1056552.5995763557</v>
      </c>
      <c r="AO50" s="51">
        <f ca="1">-SUM(W50:$W$56,AA50:$AA$56)</f>
        <v>1066787.8498423269</v>
      </c>
      <c r="AP50" s="19"/>
      <c r="AQ50" s="19"/>
      <c r="AR50" s="19"/>
      <c r="AS50" s="19"/>
    </row>
    <row r="51" spans="1:45" outlineLevel="1" x14ac:dyDescent="0.55000000000000004">
      <c r="A51" s="9"/>
      <c r="B51" s="1" t="s">
        <v>22</v>
      </c>
      <c r="C51" s="3">
        <v>12</v>
      </c>
      <c r="D51" s="87">
        <f t="shared" si="2"/>
        <v>0.94232233454704384</v>
      </c>
      <c r="E51" s="4"/>
      <c r="F51" s="84">
        <f t="shared" si="22"/>
        <v>0.51200000000000012</v>
      </c>
      <c r="G51" s="84">
        <f t="shared" si="23"/>
        <v>0.52668704344078443</v>
      </c>
      <c r="H51" s="84">
        <f t="shared" si="24"/>
        <v>0.48246903528808655</v>
      </c>
      <c r="I51" s="4"/>
      <c r="J51" s="98">
        <v>1</v>
      </c>
      <c r="K51" s="94">
        <f t="shared" si="25"/>
        <v>6.25E-2</v>
      </c>
      <c r="L51" s="47">
        <f t="shared" si="26"/>
        <v>0.52668704344078443</v>
      </c>
      <c r="M51" s="47">
        <f t="shared" si="27"/>
        <v>0.4963089643508003</v>
      </c>
      <c r="N51" s="4"/>
      <c r="O51" s="98">
        <v>1</v>
      </c>
      <c r="P51" s="94">
        <f t="shared" si="28"/>
        <v>6.25E-2</v>
      </c>
      <c r="Q51" s="47">
        <f t="shared" si="29"/>
        <v>0.52668704344078443</v>
      </c>
      <c r="R51" s="47">
        <f t="shared" si="30"/>
        <v>0.4963089643508003</v>
      </c>
      <c r="S51" s="51"/>
      <c r="T51" s="137">
        <v>6.7969588236102014E-3</v>
      </c>
      <c r="U51" s="135">
        <f t="shared" si="6"/>
        <v>6.7969588236102014E-3</v>
      </c>
      <c r="W51" s="63">
        <f t="shared" si="7"/>
        <v>-576000.00000000012</v>
      </c>
      <c r="X51" s="63">
        <f t="shared" si="8"/>
        <v>178036.01280000003</v>
      </c>
      <c r="Y51" s="63">
        <f t="shared" si="21"/>
        <v>-43200.000000000007</v>
      </c>
      <c r="Z51" s="63">
        <v>0</v>
      </c>
      <c r="AA51" s="63">
        <f t="shared" ca="1" si="9"/>
        <v>0</v>
      </c>
      <c r="AB51" s="64">
        <f t="shared" ca="1" si="31"/>
        <v>-441163.98720000009</v>
      </c>
      <c r="AC51" s="51"/>
      <c r="AD51" s="51">
        <f t="shared" si="0"/>
        <v>-542777.6646990974</v>
      </c>
      <c r="AE51" s="64">
        <f t="shared" si="11"/>
        <v>167767.31121514342</v>
      </c>
      <c r="AF51" s="64">
        <f t="shared" si="12"/>
        <v>-40708.324852432299</v>
      </c>
      <c r="AG51" s="51">
        <f t="shared" si="1"/>
        <v>0</v>
      </c>
      <c r="AH51" s="64">
        <f t="shared" ca="1" si="13"/>
        <v>0</v>
      </c>
      <c r="AI51" s="64">
        <f t="shared" ca="1" si="32"/>
        <v>-415718.67833638628</v>
      </c>
      <c r="AJ51" s="57"/>
      <c r="AK51" s="51">
        <f ca="1">SUM(AD51:AD$55,AG51:AG$55)/D51+SUM(AE52:AF$56,AH52:AH$55)/D51</f>
        <v>-603702.50147274067</v>
      </c>
      <c r="AL51" s="51">
        <f>SUM(AE52:$AF$56)*$F$14/D51</f>
        <v>23407.21184013025</v>
      </c>
      <c r="AM51" s="19"/>
      <c r="AN51" s="51">
        <f ca="1">-SUM(AD51:$AD$56,AH51:$AH$56)/D51</f>
        <v>1071846.7382753456</v>
      </c>
      <c r="AO51" s="51">
        <f ca="1">-SUM(W51:$W$56,AA51:$AA$56)</f>
        <v>1076788.7564708616</v>
      </c>
      <c r="AP51" s="19"/>
      <c r="AQ51" s="19"/>
      <c r="AR51" s="19"/>
      <c r="AS51" s="19"/>
    </row>
    <row r="52" spans="1:45" outlineLevel="1" x14ac:dyDescent="0.55000000000000004">
      <c r="A52" s="9"/>
      <c r="B52" s="1" t="s">
        <v>23</v>
      </c>
      <c r="C52" s="3">
        <v>13</v>
      </c>
      <c r="D52" s="87">
        <f t="shared" si="2"/>
        <v>0.93766874870887007</v>
      </c>
      <c r="E52" s="4"/>
      <c r="F52" s="84">
        <f t="shared" si="22"/>
        <v>0.48421970380962609</v>
      </c>
      <c r="G52" s="84">
        <f t="shared" si="23"/>
        <v>0.49810985190481311</v>
      </c>
      <c r="H52" s="84">
        <f t="shared" si="24"/>
        <v>0.45403768377135179</v>
      </c>
      <c r="I52" s="4"/>
      <c r="J52" s="98">
        <v>1</v>
      </c>
      <c r="K52" s="94">
        <f t="shared" si="25"/>
        <v>6.25E-2</v>
      </c>
      <c r="L52" s="47">
        <f t="shared" si="26"/>
        <v>0.49810985190481311</v>
      </c>
      <c r="M52" s="47">
        <f t="shared" si="27"/>
        <v>0.46706204155514669</v>
      </c>
      <c r="N52" s="4"/>
      <c r="O52" s="98">
        <v>1</v>
      </c>
      <c r="P52" s="94">
        <f t="shared" si="28"/>
        <v>6.25E-2</v>
      </c>
      <c r="Q52" s="47">
        <f t="shared" si="29"/>
        <v>0.49810985190481311</v>
      </c>
      <c r="R52" s="47">
        <f t="shared" si="30"/>
        <v>0.46706204155514669</v>
      </c>
      <c r="S52" s="51"/>
      <c r="T52" s="137">
        <v>0</v>
      </c>
      <c r="U52" s="135">
        <f t="shared" si="6"/>
        <v>0</v>
      </c>
      <c r="W52" s="63">
        <f t="shared" si="7"/>
        <v>0</v>
      </c>
      <c r="X52" s="63">
        <f t="shared" si="8"/>
        <v>168795.43598861736</v>
      </c>
      <c r="Y52" s="63">
        <f t="shared" si="21"/>
        <v>-40856.037508937203</v>
      </c>
      <c r="Z52" s="63">
        <v>0</v>
      </c>
      <c r="AA52" s="63">
        <f t="shared" ca="1" si="9"/>
        <v>8000.7253028277228</v>
      </c>
      <c r="AB52" s="64">
        <f t="shared" ca="1" si="31"/>
        <v>135940.12378250787</v>
      </c>
      <c r="AC52" s="51"/>
      <c r="AD52" s="51">
        <f t="shared" si="0"/>
        <v>0</v>
      </c>
      <c r="AE52" s="64">
        <f t="shared" si="11"/>
        <v>158274.20525121503</v>
      </c>
      <c r="AF52" s="64">
        <f t="shared" si="12"/>
        <v>-38309.429568207808</v>
      </c>
      <c r="AG52" s="51">
        <f t="shared" si="1"/>
        <v>0</v>
      </c>
      <c r="AH52" s="64">
        <f t="shared" ca="1" si="13"/>
        <v>7502.0300834658665</v>
      </c>
      <c r="AI52" s="64">
        <f t="shared" ca="1" si="32"/>
        <v>127466.80576647309</v>
      </c>
      <c r="AJ52" s="57"/>
      <c r="AK52" s="51">
        <f ca="1">SUM(AD52:AD$55,AG52:AG$55)/D52+SUM(AE53:AF$56,AH53:AH$55)/D52</f>
        <v>-163780.11087446439</v>
      </c>
      <c r="AL52" s="51">
        <f>SUM(AE53:$AF$56)*$F$14/D52</f>
        <v>17126.410306828289</v>
      </c>
      <c r="AM52" s="19"/>
      <c r="AN52" s="51">
        <f ca="1">-SUM(AD52:$AD$56,AH52:$AH$56)/D52</f>
        <v>498307.59170820244</v>
      </c>
      <c r="AO52" s="51">
        <f ca="1">-SUM(W52:$W$56,AA52:$AA$56)</f>
        <v>500788.75647086173</v>
      </c>
      <c r="AP52" s="19"/>
      <c r="AQ52" s="19"/>
      <c r="AR52" s="19"/>
      <c r="AS52" s="19"/>
    </row>
    <row r="53" spans="1:45" outlineLevel="1" x14ac:dyDescent="0.55000000000000004">
      <c r="A53" s="9"/>
      <c r="B53" s="1" t="s">
        <v>24</v>
      </c>
      <c r="C53" s="3">
        <v>14</v>
      </c>
      <c r="D53" s="87">
        <f t="shared" si="2"/>
        <v>0.93303814424379905</v>
      </c>
      <c r="E53" s="4"/>
      <c r="F53" s="84">
        <f t="shared" si="22"/>
        <v>0.457946721791957</v>
      </c>
      <c r="G53" s="84">
        <f t="shared" si="23"/>
        <v>0.47108321280079157</v>
      </c>
      <c r="H53" s="84">
        <f t="shared" si="24"/>
        <v>0.42728175946329888</v>
      </c>
      <c r="I53" s="4"/>
      <c r="J53" s="98">
        <v>1</v>
      </c>
      <c r="K53" s="94">
        <f t="shared" si="25"/>
        <v>6.25E-2</v>
      </c>
      <c r="L53" s="47">
        <f t="shared" si="26"/>
        <v>0.47108321280079157</v>
      </c>
      <c r="M53" s="47">
        <f t="shared" si="27"/>
        <v>0.43953860665605726</v>
      </c>
      <c r="N53" s="4"/>
      <c r="O53" s="98">
        <v>1</v>
      </c>
      <c r="P53" s="94">
        <f t="shared" si="28"/>
        <v>6.25E-2</v>
      </c>
      <c r="Q53" s="47">
        <f t="shared" si="29"/>
        <v>0.47108321280079157</v>
      </c>
      <c r="R53" s="47">
        <f t="shared" si="30"/>
        <v>0.43953860665605726</v>
      </c>
      <c r="S53" s="51"/>
      <c r="T53" s="137">
        <v>0</v>
      </c>
      <c r="U53" s="135">
        <f t="shared" si="6"/>
        <v>0</v>
      </c>
      <c r="W53" s="63">
        <f t="shared" si="7"/>
        <v>-515190.06201595161</v>
      </c>
      <c r="X53" s="63">
        <f t="shared" si="8"/>
        <v>160034.47146726606</v>
      </c>
      <c r="Y53" s="63">
        <f t="shared" si="21"/>
        <v>-38639.254651196374</v>
      </c>
      <c r="Z53" s="63">
        <v>0</v>
      </c>
      <c r="AA53" s="63">
        <f t="shared" ca="1" si="9"/>
        <v>0</v>
      </c>
      <c r="AB53" s="64">
        <f t="shared" ca="1" si="31"/>
        <v>-393794.84519988188</v>
      </c>
      <c r="AC53" s="51"/>
      <c r="AD53" s="51">
        <f t="shared" si="0"/>
        <v>-480691.97939621122</v>
      </c>
      <c r="AE53" s="64">
        <f t="shared" si="11"/>
        <v>149318.26627285514</v>
      </c>
      <c r="AF53" s="64">
        <f t="shared" si="12"/>
        <v>-36051.898454715847</v>
      </c>
      <c r="AG53" s="51">
        <f t="shared" si="1"/>
        <v>0</v>
      </c>
      <c r="AH53" s="64">
        <f t="shared" ca="1" si="13"/>
        <v>0</v>
      </c>
      <c r="AI53" s="64">
        <f t="shared" ca="1" si="32"/>
        <v>-367425.61157807196</v>
      </c>
      <c r="AJ53" s="57"/>
      <c r="AK53" s="51">
        <f ca="1">SUM(AD53:AD$55,AG53:AG$55)/D53+SUM(AE54:AF$56,AH54:AH$55)/D53</f>
        <v>-285988.15717385581</v>
      </c>
      <c r="AL53" s="51">
        <f>SUM(AE54:$AF$56)*$F$14/D53</f>
        <v>11141.646668472207</v>
      </c>
      <c r="AM53" s="19"/>
      <c r="AN53" s="51">
        <f ca="1">-SUM(AD53:$AD$56,AH53:$AH$56)/D53</f>
        <v>508821.09054329986</v>
      </c>
      <c r="AO53" s="51">
        <f ca="1">-SUM(W53:$W$56,AA53:$AA$56)</f>
        <v>508789.48177368945</v>
      </c>
      <c r="AP53" s="19"/>
      <c r="AQ53" s="19"/>
      <c r="AR53" s="19"/>
      <c r="AS53" s="19"/>
    </row>
    <row r="54" spans="1:45" outlineLevel="1" x14ac:dyDescent="0.55000000000000004">
      <c r="A54" s="9"/>
      <c r="B54" s="1" t="s">
        <v>25</v>
      </c>
      <c r="C54" s="3">
        <v>15</v>
      </c>
      <c r="D54" s="87">
        <f t="shared" si="2"/>
        <v>0.92843040766010021</v>
      </c>
      <c r="E54" s="4"/>
      <c r="F54" s="84">
        <f t="shared" si="22"/>
        <v>0.43309926950525512</v>
      </c>
      <c r="G54" s="84">
        <f t="shared" si="23"/>
        <v>0.44552299564860609</v>
      </c>
      <c r="H54" s="84">
        <f t="shared" si="24"/>
        <v>0.4021025313440556</v>
      </c>
      <c r="I54" s="4"/>
      <c r="J54" s="98">
        <v>1</v>
      </c>
      <c r="K54" s="94">
        <f t="shared" si="25"/>
        <v>6.25E-2</v>
      </c>
      <c r="L54" s="47">
        <f t="shared" si="26"/>
        <v>0.44552299564860609</v>
      </c>
      <c r="M54" s="47">
        <f t="shared" si="27"/>
        <v>0.41363709647198438</v>
      </c>
      <c r="N54" s="4"/>
      <c r="O54" s="98">
        <v>1</v>
      </c>
      <c r="P54" s="94">
        <f t="shared" si="28"/>
        <v>6.25E-2</v>
      </c>
      <c r="Q54" s="47">
        <f t="shared" si="29"/>
        <v>0.44552299564860609</v>
      </c>
      <c r="R54" s="47">
        <f t="shared" si="30"/>
        <v>0.41363709647198438</v>
      </c>
      <c r="S54" s="51"/>
      <c r="T54" s="137">
        <v>0</v>
      </c>
      <c r="U54" s="135">
        <f t="shared" si="6"/>
        <v>0</v>
      </c>
      <c r="W54" s="63">
        <f t="shared" si="7"/>
        <v>0</v>
      </c>
      <c r="X54" s="63">
        <f t="shared" si="8"/>
        <v>151728.22599027061</v>
      </c>
      <c r="Y54" s="63">
        <f t="shared" si="21"/>
        <v>-36542.750864505899</v>
      </c>
      <c r="Z54" s="63">
        <v>0</v>
      </c>
      <c r="AA54" s="63">
        <f t="shared" ca="1" si="9"/>
        <v>6400.5802422621691</v>
      </c>
      <c r="AB54" s="64">
        <f t="shared" ca="1" si="31"/>
        <v>121586.05536802688</v>
      </c>
      <c r="AC54" s="51"/>
      <c r="AD54" s="51">
        <f t="shared" si="0"/>
        <v>0</v>
      </c>
      <c r="AE54" s="64">
        <f t="shared" si="11"/>
        <v>140869.09870969076</v>
      </c>
      <c r="AF54" s="64">
        <f t="shared" si="12"/>
        <v>-33927.401082154691</v>
      </c>
      <c r="AG54" s="51">
        <f t="shared" si="1"/>
        <v>0</v>
      </c>
      <c r="AH54" s="64">
        <f t="shared" ca="1" si="13"/>
        <v>5942.4933235846484</v>
      </c>
      <c r="AI54" s="64">
        <f t="shared" ca="1" si="32"/>
        <v>112884.19095112073</v>
      </c>
      <c r="AJ54" s="57"/>
      <c r="AK54" s="51">
        <f ca="1">SUM(AD54:AD$55,AG54:AG$55)/D54+SUM(AE55:AF$56,AH55:AH$55)/D54</f>
        <v>108753.36284424826</v>
      </c>
      <c r="AL54" s="51">
        <f>SUM(AE55:$AF$56)*$F$14/D54</f>
        <v>5437.6681422124138</v>
      </c>
      <c r="AM54" s="19"/>
      <c r="AN54" s="51">
        <f ca="1">-SUM(AD54:$AD$56,AH54:$AH$56)/D54</f>
        <v>-6400.5802422621691</v>
      </c>
      <c r="AO54" s="51">
        <f ca="1">-SUM(W54:$W$56,AA54:$AA$56)</f>
        <v>-6400.5802422621691</v>
      </c>
      <c r="AP54" s="19"/>
      <c r="AQ54" s="19"/>
      <c r="AR54" s="19"/>
      <c r="AS54" s="19"/>
    </row>
    <row r="55" spans="1:45" outlineLevel="1" x14ac:dyDescent="0.55000000000000004">
      <c r="A55" s="9"/>
      <c r="B55" s="1" t="s">
        <v>26</v>
      </c>
      <c r="C55" s="3">
        <v>16</v>
      </c>
      <c r="D55" s="87">
        <f t="shared" si="2"/>
        <v>0.92384542602651332</v>
      </c>
      <c r="E55" s="4"/>
      <c r="F55" s="84">
        <f t="shared" si="22"/>
        <v>0.40960000000000019</v>
      </c>
      <c r="G55" s="84">
        <f t="shared" si="23"/>
        <v>0.42134963475262766</v>
      </c>
      <c r="H55" s="84">
        <f t="shared" si="24"/>
        <v>0.37840708650046001</v>
      </c>
      <c r="I55" s="4"/>
      <c r="J55" s="98">
        <v>1</v>
      </c>
      <c r="K55" s="94">
        <f t="shared" si="25"/>
        <v>6.25E-2</v>
      </c>
      <c r="L55" s="47">
        <f t="shared" si="26"/>
        <v>0.42134963475262766</v>
      </c>
      <c r="M55" s="47">
        <f t="shared" si="27"/>
        <v>0.38926193282415705</v>
      </c>
      <c r="N55" s="4"/>
      <c r="O55" s="98">
        <v>1</v>
      </c>
      <c r="P55" s="94">
        <f t="shared" si="28"/>
        <v>6.25E-2</v>
      </c>
      <c r="Q55" s="47">
        <f t="shared" si="29"/>
        <v>0.42134963475262766</v>
      </c>
      <c r="R55" s="47">
        <f t="shared" si="30"/>
        <v>0.38926193282415705</v>
      </c>
      <c r="S55" s="51"/>
      <c r="T55" s="137">
        <v>0</v>
      </c>
      <c r="U55" s="135">
        <f t="shared" si="6"/>
        <v>0</v>
      </c>
      <c r="W55" s="63">
        <f t="shared" si="7"/>
        <v>0</v>
      </c>
      <c r="X55" s="63">
        <f t="shared" si="8"/>
        <v>143853.09834240007</v>
      </c>
      <c r="Y55" s="63">
        <f t="shared" si="21"/>
        <v>-34560.000000000015</v>
      </c>
      <c r="Z55" s="63">
        <v>0</v>
      </c>
      <c r="AA55" s="63">
        <f t="shared" ca="1" si="9"/>
        <v>0</v>
      </c>
      <c r="AB55" s="64">
        <f t="shared" ca="1" si="31"/>
        <v>109293.09834240006</v>
      </c>
      <c r="AC55" s="51"/>
      <c r="AD55" s="51">
        <f t="shared" si="0"/>
        <v>0</v>
      </c>
      <c r="AE55" s="64">
        <f t="shared" si="11"/>
        <v>132898.02692336851</v>
      </c>
      <c r="AF55" s="64">
        <f t="shared" si="12"/>
        <v>-31928.097923476314</v>
      </c>
      <c r="AG55" s="51">
        <f t="shared" si="1"/>
        <v>0</v>
      </c>
      <c r="AH55" s="64">
        <f t="shared" ca="1" si="13"/>
        <v>0</v>
      </c>
      <c r="AI55" s="64">
        <f t="shared" ca="1" si="32"/>
        <v>100969.9289998922</v>
      </c>
      <c r="AJ55" s="57"/>
      <c r="AK55" s="51">
        <f ca="1">SUM(AD55:AD$55,AG55:AG$55)/D55+SUM(AE56:AF$56,AH$55:AH56)/D55</f>
        <v>0</v>
      </c>
      <c r="AL55" s="51">
        <f>SUM(AE56:$AF$56)*$F$14/D55</f>
        <v>0</v>
      </c>
      <c r="AM55" s="19"/>
      <c r="AN55" s="51">
        <f ca="1">-SUM(AD55:$AD$56,AH55:$AH$56)/D55</f>
        <v>0</v>
      </c>
      <c r="AO55" s="51">
        <f ca="1">-SUM(W55:$W$56,AA55:$AA$56)</f>
        <v>0</v>
      </c>
      <c r="AP55" s="19"/>
      <c r="AQ55" s="19"/>
      <c r="AR55" s="19"/>
      <c r="AS55" s="19"/>
    </row>
    <row r="56" spans="1:45" outlineLevel="1" x14ac:dyDescent="0.55000000000000004">
      <c r="B56" s="8"/>
      <c r="C56" s="6"/>
      <c r="D56" s="7"/>
      <c r="E56" s="2"/>
      <c r="F56" s="85"/>
      <c r="G56" s="85"/>
      <c r="H56" s="79"/>
      <c r="I56" s="2"/>
      <c r="J56" s="6"/>
      <c r="K56" s="6"/>
      <c r="L56" s="71"/>
      <c r="M56" s="90"/>
      <c r="N56" s="2"/>
      <c r="O56" s="12"/>
      <c r="P56" s="12"/>
      <c r="Q56" s="50"/>
      <c r="R56" s="90"/>
      <c r="S56" s="55"/>
      <c r="T56" s="136"/>
      <c r="U56" s="136"/>
      <c r="W56" s="66"/>
      <c r="X56" s="66"/>
      <c r="Y56" s="66"/>
      <c r="Z56" s="66"/>
      <c r="AA56" s="66"/>
      <c r="AB56" s="66"/>
      <c r="AC56" s="55"/>
      <c r="AD56" s="67"/>
      <c r="AE56" s="68"/>
      <c r="AF56" s="68"/>
      <c r="AG56" s="67"/>
      <c r="AH56" s="67"/>
      <c r="AI56" s="68"/>
      <c r="AJ56" s="57"/>
      <c r="AK56" s="67"/>
      <c r="AL56" s="67"/>
      <c r="AM56" s="19"/>
      <c r="AN56" s="121"/>
      <c r="AO56" s="121"/>
      <c r="AP56" s="19"/>
      <c r="AQ56" s="19"/>
      <c r="AR56" s="19"/>
      <c r="AS56" s="19"/>
    </row>
    <row r="57" spans="1:45" outlineLevel="1" x14ac:dyDescent="0.55000000000000004">
      <c r="A57" s="9"/>
      <c r="B57" s="4"/>
      <c r="C57" s="4"/>
      <c r="D57" s="4"/>
      <c r="E57" s="4"/>
      <c r="F57" s="3"/>
      <c r="G57" s="3"/>
      <c r="H57" s="4"/>
      <c r="I57" s="4"/>
      <c r="J57" s="4"/>
      <c r="K57" s="4"/>
      <c r="L57" s="51"/>
      <c r="M57" s="51"/>
      <c r="N57" s="4"/>
      <c r="O57" s="4"/>
      <c r="P57" s="4"/>
      <c r="Q57" s="51"/>
      <c r="R57" s="51"/>
      <c r="S57" s="51"/>
      <c r="T57" s="4"/>
      <c r="U57" s="4"/>
      <c r="W57" s="51"/>
      <c r="X57" s="51"/>
      <c r="Y57" s="51"/>
      <c r="Z57" s="51"/>
      <c r="AA57" s="51"/>
      <c r="AB57" s="51"/>
      <c r="AC57" s="51"/>
      <c r="AD57" s="51"/>
      <c r="AE57" s="51"/>
      <c r="AF57" s="51"/>
      <c r="AG57" s="51"/>
      <c r="AH57" s="51"/>
      <c r="AI57" s="51"/>
      <c r="AJ57" s="57"/>
      <c r="AK57" s="51"/>
      <c r="AL57" s="51"/>
      <c r="AM57" s="19"/>
      <c r="AN57" s="55"/>
      <c r="AO57" s="55"/>
      <c r="AP57" s="19"/>
      <c r="AQ57" s="19"/>
      <c r="AR57" s="19"/>
      <c r="AS57" s="19"/>
    </row>
    <row r="58" spans="1:45" outlineLevel="1" x14ac:dyDescent="0.55000000000000004">
      <c r="A58" s="9"/>
      <c r="B58" s="24"/>
      <c r="C58" s="24"/>
      <c r="D58" s="25"/>
      <c r="E58" s="4"/>
      <c r="F58" s="26"/>
      <c r="G58" s="26"/>
      <c r="H58" s="26"/>
      <c r="I58" s="4"/>
      <c r="J58" s="80">
        <f>SUM(J40:J55)</f>
        <v>16</v>
      </c>
      <c r="K58" s="95">
        <f>SUM(K40:K55)</f>
        <v>1</v>
      </c>
      <c r="L58" s="81">
        <f>SUM(L40:L55)</f>
        <v>10.586066273350365</v>
      </c>
      <c r="M58" s="81">
        <f>SUM(M40:M55)</f>
        <v>10.211349081468139</v>
      </c>
      <c r="N58" s="4"/>
      <c r="O58" s="80">
        <f>SUM(O40:O55)</f>
        <v>16</v>
      </c>
      <c r="P58" s="95">
        <f>SUM(P40:P55)</f>
        <v>1</v>
      </c>
      <c r="Q58" s="81">
        <f>SUM(Q40:Q55)</f>
        <v>10.586066273350365</v>
      </c>
      <c r="R58" s="81">
        <f>SUM(R40:R55)</f>
        <v>10.211349081468139</v>
      </c>
      <c r="S58" s="52"/>
      <c r="T58" s="80">
        <f>SUM(T40:T55)</f>
        <v>1</v>
      </c>
      <c r="U58" s="95">
        <f>SUM(U40:U55)</f>
        <v>1</v>
      </c>
      <c r="W58" s="52">
        <f t="shared" ref="W58:AB58" si="33">SUM(W39:W55)</f>
        <v>-6291392.7013107212</v>
      </c>
      <c r="X58" s="52">
        <f t="shared" si="33"/>
        <v>3537302.255079526</v>
      </c>
      <c r="Y58" s="52">
        <f t="shared" si="33"/>
        <v>-868291.84181393683</v>
      </c>
      <c r="Z58" s="52">
        <f t="shared" si="33"/>
        <v>-900000</v>
      </c>
      <c r="AA58" s="52">
        <f t="shared" ca="1" si="33"/>
        <v>126999.40370951936</v>
      </c>
      <c r="AB58" s="52">
        <f t="shared" ca="1" si="33"/>
        <v>-4395382.8843356138</v>
      </c>
      <c r="AC58" s="51"/>
      <c r="AD58" s="52">
        <f t="shared" ref="AD58:AI58" si="34">SUM(AD39:AD55)</f>
        <v>-6113488.0267318701</v>
      </c>
      <c r="AE58" s="52">
        <f t="shared" si="34"/>
        <v>3411234.9324428779</v>
      </c>
      <c r="AF58" s="52">
        <f t="shared" si="34"/>
        <v>-837556.73471208138</v>
      </c>
      <c r="AG58" s="52">
        <f t="shared" si="34"/>
        <v>-900000</v>
      </c>
      <c r="AH58" s="52">
        <f t="shared" ca="1" si="34"/>
        <v>123447.29553516606</v>
      </c>
      <c r="AI58" s="52">
        <f t="shared" ca="1" si="34"/>
        <v>-4316362.5334659088</v>
      </c>
      <c r="AJ58" s="52"/>
      <c r="AK58" s="52"/>
      <c r="AL58" s="52"/>
      <c r="AM58" s="19"/>
      <c r="AN58" s="128"/>
      <c r="AO58" s="51"/>
    </row>
    <row r="59" spans="1:45" ht="15.3" x14ac:dyDescent="0.55000000000000004">
      <c r="A59" s="9"/>
      <c r="B59" s="24"/>
      <c r="C59" s="24"/>
      <c r="D59" s="4"/>
      <c r="E59" s="4"/>
      <c r="F59" s="4"/>
      <c r="G59" s="4"/>
      <c r="H59" s="4"/>
      <c r="I59" s="4"/>
      <c r="J59" s="24"/>
      <c r="K59" s="24"/>
      <c r="L59" s="52"/>
      <c r="M59" s="52"/>
      <c r="N59" s="4"/>
      <c r="O59" s="24"/>
      <c r="P59" s="24"/>
      <c r="Q59" s="52"/>
      <c r="R59" s="52"/>
      <c r="S59" s="51"/>
      <c r="W59" s="52"/>
      <c r="X59" s="72"/>
      <c r="Y59" s="72"/>
      <c r="Z59" s="52"/>
      <c r="AA59" s="52"/>
      <c r="AB59" s="52"/>
      <c r="AC59" s="51"/>
      <c r="AD59" s="52"/>
      <c r="AE59" s="73"/>
      <c r="AF59" s="73"/>
      <c r="AG59" s="52"/>
      <c r="AH59" s="52"/>
      <c r="AI59" s="52"/>
      <c r="AJ59" s="57"/>
      <c r="AK59" s="52"/>
      <c r="AL59" s="52"/>
      <c r="AM59" s="52"/>
      <c r="AN59" s="52"/>
      <c r="AO59" s="51"/>
    </row>
    <row r="60" spans="1:45" ht="15.3" x14ac:dyDescent="0.55000000000000004">
      <c r="A60" s="9"/>
      <c r="B60" s="24"/>
      <c r="C60" s="24"/>
      <c r="D60" s="4"/>
      <c r="E60" s="4"/>
      <c r="F60" s="4"/>
      <c r="G60" s="4"/>
      <c r="H60" s="4"/>
      <c r="I60" s="4"/>
      <c r="J60" s="24"/>
      <c r="K60" s="24"/>
      <c r="L60" s="52"/>
      <c r="M60" s="52"/>
      <c r="N60" s="4"/>
      <c r="O60" s="24"/>
      <c r="P60" s="24"/>
      <c r="Q60" s="52"/>
      <c r="R60" s="52"/>
      <c r="S60" s="51"/>
      <c r="W60" s="52"/>
      <c r="X60" s="72"/>
      <c r="Y60" s="72"/>
      <c r="Z60" s="52"/>
      <c r="AA60" s="52"/>
      <c r="AB60" s="52"/>
      <c r="AC60" s="51"/>
      <c r="AD60" s="52"/>
      <c r="AE60" s="73"/>
      <c r="AF60" s="73"/>
      <c r="AG60" s="52"/>
      <c r="AH60" s="52"/>
      <c r="AI60" s="52"/>
      <c r="AJ60" s="57"/>
      <c r="AK60" s="52"/>
      <c r="AL60" s="52"/>
      <c r="AM60" s="52"/>
      <c r="AN60" s="52"/>
      <c r="AO60" s="51"/>
    </row>
    <row r="61" spans="1:45" ht="18.3" x14ac:dyDescent="0.55000000000000004">
      <c r="A61" s="2"/>
      <c r="B61" s="143" t="s">
        <v>165</v>
      </c>
      <c r="C61" s="107"/>
      <c r="D61" s="108"/>
      <c r="H61" s="105"/>
      <c r="J61" s="2"/>
      <c r="K61" s="2"/>
      <c r="N61" s="2"/>
      <c r="O61" s="2"/>
      <c r="P61" s="2"/>
      <c r="Q61" s="2"/>
      <c r="S61" s="2"/>
      <c r="W61" s="55"/>
      <c r="X61" s="55"/>
      <c r="Y61" s="55"/>
      <c r="Z61" s="55"/>
      <c r="AA61" s="55"/>
      <c r="AB61" s="55"/>
      <c r="AC61" s="2"/>
      <c r="AD61" s="22"/>
      <c r="AE61" s="2"/>
      <c r="AF61" s="2"/>
      <c r="AG61" s="2"/>
      <c r="AH61" s="2"/>
      <c r="AI61" s="2"/>
      <c r="AJ61" s="21"/>
      <c r="AK61" s="2"/>
      <c r="AL61" s="2"/>
      <c r="AM61" s="2"/>
      <c r="AN61" s="55"/>
      <c r="AO61" s="55"/>
    </row>
    <row r="62" spans="1:45" outlineLevel="1" x14ac:dyDescent="0.55000000000000004">
      <c r="D62" s="2"/>
      <c r="E62" s="2"/>
      <c r="F62" s="2"/>
      <c r="G62" s="2"/>
      <c r="H62" s="2"/>
      <c r="I62" s="2"/>
      <c r="J62" s="2"/>
      <c r="K62" s="2"/>
      <c r="L62" s="2"/>
      <c r="M62" s="2"/>
      <c r="N62" s="2"/>
      <c r="O62" s="2"/>
      <c r="P62" s="2"/>
      <c r="Q62" s="2"/>
      <c r="R62" s="2"/>
      <c r="S62" s="2"/>
      <c r="W62" s="55"/>
      <c r="X62" s="55"/>
      <c r="Y62" s="55"/>
      <c r="Z62" s="55"/>
      <c r="AA62" s="113"/>
      <c r="AB62" s="114"/>
      <c r="AC62" s="2"/>
      <c r="AD62" s="2"/>
      <c r="AE62" s="2"/>
      <c r="AF62" s="2"/>
      <c r="AG62" s="2"/>
      <c r="AH62" s="2"/>
      <c r="AI62" s="2"/>
      <c r="AJ62" s="21"/>
      <c r="AK62" s="2"/>
      <c r="AL62" s="2"/>
      <c r="AM62" s="2"/>
      <c r="AN62" s="55"/>
      <c r="AO62" s="55"/>
    </row>
    <row r="63" spans="1:45" ht="19.899999999999999" customHeight="1" outlineLevel="1" x14ac:dyDescent="0.55000000000000004">
      <c r="B63" s="185" t="s">
        <v>67</v>
      </c>
      <c r="C63" s="185"/>
      <c r="D63" s="185"/>
      <c r="E63" s="2"/>
      <c r="F63" s="187" t="s">
        <v>127</v>
      </c>
      <c r="G63" s="187"/>
      <c r="H63" s="187"/>
      <c r="I63" s="2"/>
      <c r="J63" s="187" t="s">
        <v>69</v>
      </c>
      <c r="K63" s="187"/>
      <c r="L63" s="187"/>
      <c r="M63" s="187"/>
      <c r="N63" s="2"/>
      <c r="O63" s="187" t="s">
        <v>38</v>
      </c>
      <c r="P63" s="187"/>
      <c r="Q63" s="187"/>
      <c r="R63" s="187"/>
      <c r="S63" s="2"/>
      <c r="T63" s="190" t="s">
        <v>461</v>
      </c>
      <c r="U63" s="190"/>
      <c r="W63" s="188" t="s">
        <v>31</v>
      </c>
      <c r="X63" s="188"/>
      <c r="Y63" s="188"/>
      <c r="Z63" s="188"/>
      <c r="AA63" s="188"/>
      <c r="AB63" s="188"/>
      <c r="AC63" s="2"/>
      <c r="AD63" s="189" t="s">
        <v>32</v>
      </c>
      <c r="AE63" s="189"/>
      <c r="AF63" s="189"/>
      <c r="AG63" s="189"/>
      <c r="AH63" s="189"/>
      <c r="AI63" s="189"/>
      <c r="AJ63" s="21"/>
      <c r="AK63" s="189" t="s">
        <v>149</v>
      </c>
      <c r="AL63" s="189"/>
      <c r="AM63" s="51"/>
      <c r="AN63" s="188" t="s">
        <v>325</v>
      </c>
      <c r="AO63" s="188"/>
      <c r="AQ63" s="185" t="s">
        <v>143</v>
      </c>
      <c r="AR63" s="185"/>
      <c r="AS63" s="185"/>
    </row>
    <row r="64" spans="1:45" ht="30.6" customHeight="1" outlineLevel="1" x14ac:dyDescent="0.55000000000000004">
      <c r="B64" s="145" t="s">
        <v>145</v>
      </c>
      <c r="C64" s="145" t="s">
        <v>10</v>
      </c>
      <c r="D64" s="78" t="s">
        <v>124</v>
      </c>
      <c r="E64" s="13"/>
      <c r="F64" s="82" t="s">
        <v>127</v>
      </c>
      <c r="G64" s="82" t="s">
        <v>153</v>
      </c>
      <c r="H64" s="133" t="s">
        <v>2</v>
      </c>
      <c r="I64" s="2"/>
      <c r="J64" s="88" t="s">
        <v>125</v>
      </c>
      <c r="K64" s="88" t="s">
        <v>36</v>
      </c>
      <c r="L64" s="48" t="s">
        <v>129</v>
      </c>
      <c r="M64" s="133" t="s">
        <v>2</v>
      </c>
      <c r="N64" s="13"/>
      <c r="O64" s="91" t="s">
        <v>126</v>
      </c>
      <c r="P64" s="91" t="s">
        <v>36</v>
      </c>
      <c r="Q64" s="92" t="s">
        <v>130</v>
      </c>
      <c r="R64" s="133" t="s">
        <v>2</v>
      </c>
      <c r="S64" s="55"/>
      <c r="T64" s="91" t="s">
        <v>154</v>
      </c>
      <c r="U64" s="91" t="s">
        <v>36</v>
      </c>
      <c r="W64" s="53" t="s">
        <v>12</v>
      </c>
      <c r="X64" s="53" t="s">
        <v>34</v>
      </c>
      <c r="Y64" s="53" t="s">
        <v>35</v>
      </c>
      <c r="Z64" s="53" t="s">
        <v>41</v>
      </c>
      <c r="AA64" s="56" t="s">
        <v>119</v>
      </c>
      <c r="AB64" s="53" t="s">
        <v>1</v>
      </c>
      <c r="AC64" s="55"/>
      <c r="AD64" s="53" t="s">
        <v>12</v>
      </c>
      <c r="AE64" s="53" t="s">
        <v>34</v>
      </c>
      <c r="AF64" s="53" t="s">
        <v>35</v>
      </c>
      <c r="AG64" s="56" t="s">
        <v>41</v>
      </c>
      <c r="AH64" s="56" t="s">
        <v>119</v>
      </c>
      <c r="AI64" s="53" t="s">
        <v>1</v>
      </c>
      <c r="AJ64" s="57"/>
      <c r="AK64" s="58" t="s">
        <v>3</v>
      </c>
      <c r="AL64" s="58" t="s">
        <v>0</v>
      </c>
      <c r="AM64" s="51"/>
      <c r="AN64" s="76" t="s">
        <v>45</v>
      </c>
      <c r="AO64" s="76" t="s">
        <v>146</v>
      </c>
      <c r="AQ64" s="58" t="s">
        <v>3</v>
      </c>
      <c r="AR64" s="58" t="s">
        <v>0</v>
      </c>
      <c r="AS64" s="58" t="s">
        <v>12</v>
      </c>
    </row>
    <row r="65" spans="1:45" s="19" customFormat="1" outlineLevel="1" x14ac:dyDescent="0.55000000000000004">
      <c r="B65" s="15" t="s">
        <v>204</v>
      </c>
      <c r="C65" s="15" t="s">
        <v>205</v>
      </c>
      <c r="D65" s="16" t="s">
        <v>206</v>
      </c>
      <c r="E65" s="20"/>
      <c r="F65" s="83" t="s">
        <v>207</v>
      </c>
      <c r="G65" s="83" t="s">
        <v>208</v>
      </c>
      <c r="H65" s="18" t="s">
        <v>209</v>
      </c>
      <c r="I65" s="23"/>
      <c r="J65" s="18" t="s">
        <v>210</v>
      </c>
      <c r="K65" s="18" t="s">
        <v>211</v>
      </c>
      <c r="L65" s="18" t="s">
        <v>212</v>
      </c>
      <c r="M65" s="17" t="s">
        <v>213</v>
      </c>
      <c r="N65" s="20"/>
      <c r="O65" s="17" t="s">
        <v>214</v>
      </c>
      <c r="P65" s="17" t="s">
        <v>215</v>
      </c>
      <c r="Q65" s="17" t="s">
        <v>216</v>
      </c>
      <c r="R65" s="142" t="s">
        <v>217</v>
      </c>
      <c r="S65" s="61"/>
      <c r="T65" s="17" t="s">
        <v>218</v>
      </c>
      <c r="U65" s="17" t="s">
        <v>219</v>
      </c>
      <c r="W65" s="60" t="s">
        <v>220</v>
      </c>
      <c r="X65" s="60" t="s">
        <v>221</v>
      </c>
      <c r="Y65" s="60" t="s">
        <v>222</v>
      </c>
      <c r="Z65" s="60" t="s">
        <v>223</v>
      </c>
      <c r="AA65" s="60" t="s">
        <v>224</v>
      </c>
      <c r="AB65" s="60" t="s">
        <v>225</v>
      </c>
      <c r="AC65" s="61"/>
      <c r="AD65" s="60" t="s">
        <v>226</v>
      </c>
      <c r="AE65" s="60" t="s">
        <v>227</v>
      </c>
      <c r="AF65" s="60" t="s">
        <v>228</v>
      </c>
      <c r="AG65" s="60" t="s">
        <v>229</v>
      </c>
      <c r="AH65" s="60" t="s">
        <v>230</v>
      </c>
      <c r="AI65" s="60" t="s">
        <v>231</v>
      </c>
      <c r="AJ65" s="62"/>
      <c r="AK65" s="60" t="s">
        <v>232</v>
      </c>
      <c r="AL65" s="60" t="s">
        <v>233</v>
      </c>
      <c r="AN65" s="60" t="s">
        <v>234</v>
      </c>
      <c r="AO65" s="60" t="s">
        <v>235</v>
      </c>
      <c r="AQ65" s="60" t="s">
        <v>236</v>
      </c>
      <c r="AR65" s="60" t="s">
        <v>237</v>
      </c>
      <c r="AS65" s="60" t="s">
        <v>238</v>
      </c>
    </row>
    <row r="66" spans="1:45" outlineLevel="1" x14ac:dyDescent="0.55000000000000004">
      <c r="B66" s="1"/>
      <c r="C66" s="3">
        <v>0</v>
      </c>
      <c r="D66" s="87">
        <v>1</v>
      </c>
      <c r="E66" s="2"/>
      <c r="F66" s="84">
        <v>1</v>
      </c>
      <c r="G66" s="84"/>
      <c r="H66" s="5"/>
      <c r="I66" s="2"/>
      <c r="J66" s="2"/>
      <c r="K66" s="2"/>
      <c r="L66" s="55"/>
      <c r="M66" s="55"/>
      <c r="N66" s="2"/>
      <c r="O66" s="10"/>
      <c r="P66" s="10"/>
      <c r="Q66" s="49"/>
      <c r="R66" s="55"/>
      <c r="S66" s="55"/>
      <c r="T66" s="2"/>
      <c r="U66" s="2"/>
      <c r="W66" s="63">
        <f t="shared" ref="W66:W82" si="35">IFERROR(IF(C66&gt;=$F$7*4,0,-IF($F$22="pattern",U67*$F$21,IF(AND($F$22="single",C66=0),$F$21,IF(AND($F$22="annual",MOD(C66,4)=0),$F$21/$F$7,IF(AND($F$22="semi-ann",MOD(C66,2)=0),$F$21/(2*$F$7),IF($F$22="quarterly",$F$21/(4*$F$7),0)))))*F66),0)</f>
        <v>-1125000</v>
      </c>
      <c r="X66" s="63"/>
      <c r="Y66" s="63"/>
      <c r="Z66" s="63">
        <f>-$F$13*$F$21</f>
        <v>-900000</v>
      </c>
      <c r="AA66" s="63"/>
      <c r="AB66" s="64">
        <f>SUM(W66:AA66)</f>
        <v>-2025000</v>
      </c>
      <c r="AC66" s="55"/>
      <c r="AD66" s="64">
        <f t="shared" ref="AD66:AD82" si="36">W66*$D66</f>
        <v>-1125000</v>
      </c>
      <c r="AE66" s="64"/>
      <c r="AF66" s="64"/>
      <c r="AG66" s="64">
        <f t="shared" ref="AG66:AG82" si="37">Z66*$D66</f>
        <v>-900000</v>
      </c>
      <c r="AH66" s="64"/>
      <c r="AI66" s="64">
        <f>SUM(AD66:AH66)</f>
        <v>-2025000</v>
      </c>
      <c r="AJ66" s="57"/>
      <c r="AK66" s="51">
        <f ca="1">SUM(AD66:AD$82,AG66:AG$82)/D66+SUM(AE67:AF$83,AH67:AH$82)/D66</f>
        <v>-4955642.5507186661</v>
      </c>
      <c r="AL66" s="51">
        <f>SUM(AE67:$AF$83)*$G$14/D66</f>
        <v>86019.756194457426</v>
      </c>
      <c r="AM66" s="51"/>
      <c r="AN66" s="51">
        <f ca="1">-SUM(AD66:$AD$83,AH66:$AH$83)/D66</f>
        <v>6922967.7572005792</v>
      </c>
      <c r="AO66" s="51">
        <f ca="1">-SUM(W66:$W$83,AA66:$AA$83)</f>
        <v>7149373.1065043397</v>
      </c>
      <c r="AQ66" s="9">
        <f t="shared" ref="AQ66:AQ74" ca="1" si="38">AK66-AK39</f>
        <v>-639280.01725275721</v>
      </c>
      <c r="AR66" s="9">
        <f t="shared" ref="AR66:AR74" si="39">AL66-AL39</f>
        <v>-42664.153692082371</v>
      </c>
      <c r="AS66" s="9">
        <f t="shared" ref="AS66:AS82" ca="1" si="40">IF($F$27="yes",AN66-AN39,AO66-AO39)</f>
        <v>984979.80890313815</v>
      </c>
    </row>
    <row r="67" spans="1:45" outlineLevel="1" x14ac:dyDescent="0.55000000000000004">
      <c r="A67" s="9"/>
      <c r="B67" s="1" t="s">
        <v>6</v>
      </c>
      <c r="C67" s="3">
        <v>1</v>
      </c>
      <c r="D67" s="87">
        <f>D66/(1+$F$17)^(1/4)</f>
        <v>0.99506157747984325</v>
      </c>
      <c r="E67" s="4"/>
      <c r="F67" s="84">
        <f t="shared" ref="F67:F74" si="41">(1-IF(C67&lt;$F$8,$F$19,$G$19))^(C67/4)</f>
        <v>0.94574160900317583</v>
      </c>
      <c r="G67" s="84">
        <f>AVERAGE(F66:F67)</f>
        <v>0.97287080450158792</v>
      </c>
      <c r="H67" s="153">
        <f>F67*D67</f>
        <v>0.94107113734302528</v>
      </c>
      <c r="I67" s="4"/>
      <c r="J67" s="98">
        <v>1</v>
      </c>
      <c r="K67" s="94">
        <f t="shared" ref="K67:K74" si="42">J67/$J$85</f>
        <v>6.25E-2</v>
      </c>
      <c r="L67" s="47">
        <f>J67*G67</f>
        <v>0.97287080450158792</v>
      </c>
      <c r="M67" s="47">
        <f>L67*D67</f>
        <v>0.96806635741143421</v>
      </c>
      <c r="N67" s="4"/>
      <c r="O67" s="98">
        <v>1</v>
      </c>
      <c r="P67" s="94">
        <f t="shared" ref="P67:P74" si="43">O67/$O$85</f>
        <v>6.25E-2</v>
      </c>
      <c r="Q67" s="154">
        <f>O67*G67</f>
        <v>0.97287080450158792</v>
      </c>
      <c r="R67" s="154">
        <f>Q67*D67</f>
        <v>0.96806635741143421</v>
      </c>
      <c r="S67" s="51"/>
      <c r="T67" s="137">
        <v>0.20282873599525819</v>
      </c>
      <c r="U67" s="135">
        <f>T67/$T$85</f>
        <v>0.20282873599525819</v>
      </c>
      <c r="W67" s="63">
        <f t="shared" si="35"/>
        <v>0</v>
      </c>
      <c r="X67" s="63">
        <f>$F$21*IF(C67&lt;$F$8,$F$11,$G$11)*P67*((1+$F$18)^(MIN($F$8-1,C67)/4))*((1+$G$18)^(MAX(0,C67-$F$8+1)/4))*F67</f>
        <v>319982.78747207677</v>
      </c>
      <c r="Y67" s="63">
        <f>-$F$21*IF(C67&lt;$F$8,$F$12,$G$12)*IF($F$28="risk",P67*F67,IF($F$28="policies IF",F67/($F$7*4),1/($F$7*4)))</f>
        <v>-79796.948259642959</v>
      </c>
      <c r="Z67" s="63">
        <v>0</v>
      </c>
      <c r="AA67" s="63">
        <f t="shared" ref="AA67:AA82" ca="1" si="44">IF($F$25="no",0,1)*(F67-F66)*OFFSET(W67,-IF($F$22="single",C67,IF($F$22="annual",MOD(C67,4),IF($F$22="semi-ann",MOD(C67,2),0))),0)*IF($F$22="single",($F$7*4-C67)/($F$7*4),IF(AND($F$22="annual",MOD(C67,4)&lt;&gt;0),(4-MOD(C67,4))/4,IF(AND($F$22="semi-ann",MOD(C67,2)&lt;&gt;0),0.5,0)))</f>
        <v>30520.344935713594</v>
      </c>
      <c r="AB67" s="64">
        <f t="shared" ref="AB67:AB74" ca="1" si="45">SUM(W67:AA67)</f>
        <v>270706.18414814741</v>
      </c>
      <c r="AC67" s="51"/>
      <c r="AD67" s="51">
        <f t="shared" si="36"/>
        <v>0</v>
      </c>
      <c r="AE67" s="64">
        <f t="shared" ref="AE67:AE82" si="46">X67*$D67</f>
        <v>318402.57726836216</v>
      </c>
      <c r="AF67" s="64">
        <f t="shared" ref="AF67:AF82" si="47">Y67*$D67</f>
        <v>-79402.877213317755</v>
      </c>
      <c r="AG67" s="51">
        <f t="shared" si="37"/>
        <v>0</v>
      </c>
      <c r="AH67" s="64">
        <f t="shared" ref="AH67:AH82" ca="1" si="48">AA67*$D67</f>
        <v>30369.622576960115</v>
      </c>
      <c r="AI67" s="64">
        <f t="shared" ref="AI67:AI74" ca="1" si="49">SUM(AD67:AH67)</f>
        <v>269369.32263200451</v>
      </c>
      <c r="AJ67" s="57"/>
      <c r="AK67" s="51">
        <f ca="1">SUM(AD67:AD$82,AG67:AG$82)/D67+SUM(AE68:AF$83,AH68:AH$82)/D67</f>
        <v>-3215893.3133115484</v>
      </c>
      <c r="AL67" s="51">
        <f>SUM(AE68:$AF$83)*$G$14/D67</f>
        <v>79241.091182021191</v>
      </c>
      <c r="AM67" s="51"/>
      <c r="AN67" s="51">
        <f ca="1">-SUM(AD67:$AD$83,AH67:$AH$83)/D67</f>
        <v>5826742.6744432067</v>
      </c>
      <c r="AO67" s="51">
        <f ca="1">-SUM(W67:$W$83,AA67:$AA$83)</f>
        <v>6024373.1065043388</v>
      </c>
      <c r="AQ67" s="9">
        <f t="shared" ca="1" si="38"/>
        <v>-642452.72023449698</v>
      </c>
      <c r="AR67" s="9">
        <f t="shared" si="39"/>
        <v>-38072.176183236137</v>
      </c>
      <c r="AS67" s="9">
        <f t="shared" ca="1" si="40"/>
        <v>984979.80890313815</v>
      </c>
    </row>
    <row r="68" spans="1:45" outlineLevel="1" x14ac:dyDescent="0.55000000000000004">
      <c r="A68" s="9"/>
      <c r="B68" s="1" t="s">
        <v>7</v>
      </c>
      <c r="C68" s="3">
        <v>2</v>
      </c>
      <c r="D68" s="87">
        <f t="shared" ref="D68:D82" si="50">D67/(1+$F$17)^(1/4)</f>
        <v>0.99014754297667418</v>
      </c>
      <c r="E68" s="4"/>
      <c r="F68" s="84">
        <f t="shared" si="41"/>
        <v>0.89442719099991586</v>
      </c>
      <c r="G68" s="84">
        <f t="shared" ref="G68:G74" si="51">AVERAGE(F67:F68)</f>
        <v>0.92008440000154579</v>
      </c>
      <c r="H68" s="153">
        <f t="shared" ref="H68:H74" si="52">F68*D68</f>
        <v>0.88561488554009515</v>
      </c>
      <c r="I68" s="4"/>
      <c r="J68" s="98">
        <v>1</v>
      </c>
      <c r="K68" s="94">
        <f t="shared" si="42"/>
        <v>6.25E-2</v>
      </c>
      <c r="L68" s="47">
        <f t="shared" ref="L68:L74" si="53">J68*G68</f>
        <v>0.92008440000154579</v>
      </c>
      <c r="M68" s="47">
        <f t="shared" ref="M68:M74" si="54">L68*D68</f>
        <v>0.91101930799269804</v>
      </c>
      <c r="N68" s="4"/>
      <c r="O68" s="98">
        <v>1</v>
      </c>
      <c r="P68" s="94">
        <f t="shared" si="43"/>
        <v>6.25E-2</v>
      </c>
      <c r="Q68" s="154">
        <f t="shared" ref="Q68:Q74" si="55">O68*G68</f>
        <v>0.92008440000154579</v>
      </c>
      <c r="R68" s="154">
        <f t="shared" ref="R68:R74" si="56">Q68*D68</f>
        <v>0.91101930799269804</v>
      </c>
      <c r="S68" s="51"/>
      <c r="T68" s="137">
        <v>0.17818906429460918</v>
      </c>
      <c r="U68" s="135">
        <f t="shared" ref="U68:U82" si="57">T68/$T$85</f>
        <v>0.17818906429460918</v>
      </c>
      <c r="W68" s="63">
        <f t="shared" si="35"/>
        <v>-1006230.5898749053</v>
      </c>
      <c r="X68" s="63">
        <f t="shared" ref="X68:X82" si="58">$F$21*IF(C68&lt;$F$8,$F$11,$G$11)*P68*((1+$F$18)^(MIN($F$8-1,C68)/4))*((1+$G$18)^(MAX(0,C68-$F$8+1)/4))*F68</f>
        <v>303374.76823229709</v>
      </c>
      <c r="Y68" s="63">
        <f t="shared" ref="Y68:Y82" si="59">-$F$21*IF(C68&lt;$F$8,$F$12,$G$12)*IF($F$28="risk",P68*F68,IF($F$28="policies IF",F68/($F$7*4),1/($F$7*4)))</f>
        <v>-75467.294240617906</v>
      </c>
      <c r="Z68" s="63">
        <v>0</v>
      </c>
      <c r="AA68" s="63">
        <f t="shared" ca="1" si="44"/>
        <v>0</v>
      </c>
      <c r="AB68" s="64">
        <f t="shared" ca="1" si="45"/>
        <v>-778323.11588322604</v>
      </c>
      <c r="AC68" s="51"/>
      <c r="AD68" s="51">
        <f t="shared" si="36"/>
        <v>-996316.74623260705</v>
      </c>
      <c r="AE68" s="64">
        <f t="shared" si="46"/>
        <v>300385.78136632696</v>
      </c>
      <c r="AF68" s="64">
        <f t="shared" si="47"/>
        <v>-74723.755967445541</v>
      </c>
      <c r="AG68" s="51">
        <f t="shared" si="37"/>
        <v>0</v>
      </c>
      <c r="AH68" s="64">
        <f t="shared" ca="1" si="48"/>
        <v>0</v>
      </c>
      <c r="AI68" s="64">
        <f t="shared" ca="1" si="49"/>
        <v>-770654.72083372565</v>
      </c>
      <c r="AJ68" s="57"/>
      <c r="AK68" s="51">
        <f ca="1">SUM(AD68:AD$82,AG68:AG$82)/D68+SUM(AE69:AF$83,AH69:AH$82)/D68</f>
        <v>-3459761.0457639163</v>
      </c>
      <c r="AL68" s="51">
        <f>SUM(AE69:$AF$83)*$G$14/D68</f>
        <v>72797.135075593193</v>
      </c>
      <c r="AM68" s="51"/>
      <c r="AN68" s="51">
        <f ca="1">-SUM(AD68:$AD$83,AH68:$AH$83)/D68</f>
        <v>5886332.2149503557</v>
      </c>
      <c r="AO68" s="51">
        <f ca="1">-SUM(W68:$W$83,AA68:$AA$83)</f>
        <v>6054893.4514400521</v>
      </c>
      <c r="AQ68" s="9">
        <f t="shared" ca="1" si="38"/>
        <v>-645641.16912403982</v>
      </c>
      <c r="AR68" s="9">
        <f t="shared" si="39"/>
        <v>-33702.976308642945</v>
      </c>
      <c r="AS68" s="9">
        <f t="shared" ca="1" si="40"/>
        <v>984979.80890313815</v>
      </c>
    </row>
    <row r="69" spans="1:45" outlineLevel="1" x14ac:dyDescent="0.55000000000000004">
      <c r="A69" s="9"/>
      <c r="B69" s="1" t="s">
        <v>8</v>
      </c>
      <c r="C69" s="3">
        <v>3</v>
      </c>
      <c r="D69" s="87">
        <f t="shared" si="50"/>
        <v>0.98525777605216036</v>
      </c>
      <c r="E69" s="4"/>
      <c r="F69" s="84">
        <f t="shared" si="41"/>
        <v>0.84589701075245127</v>
      </c>
      <c r="G69" s="84">
        <f t="shared" si="51"/>
        <v>0.87016210087618351</v>
      </c>
      <c r="H69" s="153">
        <f t="shared" si="52"/>
        <v>0.83342660758313047</v>
      </c>
      <c r="I69" s="4"/>
      <c r="J69" s="98">
        <v>1</v>
      </c>
      <c r="K69" s="94">
        <f t="shared" si="42"/>
        <v>6.25E-2</v>
      </c>
      <c r="L69" s="47">
        <f t="shared" si="53"/>
        <v>0.87016210087618351</v>
      </c>
      <c r="M69" s="47">
        <f t="shared" si="54"/>
        <v>0.85733397631414421</v>
      </c>
      <c r="N69" s="4"/>
      <c r="O69" s="98">
        <v>1</v>
      </c>
      <c r="P69" s="94">
        <f t="shared" si="43"/>
        <v>6.25E-2</v>
      </c>
      <c r="Q69" s="154">
        <f t="shared" si="55"/>
        <v>0.87016210087618351</v>
      </c>
      <c r="R69" s="154">
        <f t="shared" si="56"/>
        <v>0.85733397631414421</v>
      </c>
      <c r="S69" s="51"/>
      <c r="T69" s="137">
        <v>0.20194032380116383</v>
      </c>
      <c r="U69" s="135">
        <f t="shared" si="57"/>
        <v>0.20194032380116383</v>
      </c>
      <c r="W69" s="63">
        <f t="shared" si="35"/>
        <v>0</v>
      </c>
      <c r="X69" s="63">
        <f t="shared" si="58"/>
        <v>287628.75255604647</v>
      </c>
      <c r="Y69" s="63">
        <f t="shared" si="59"/>
        <v>-71372.560282238075</v>
      </c>
      <c r="Z69" s="63">
        <v>0</v>
      </c>
      <c r="AA69" s="63">
        <f t="shared" ca="1" si="44"/>
        <v>24416.275948570881</v>
      </c>
      <c r="AB69" s="64">
        <f t="shared" ca="1" si="45"/>
        <v>240672.46822237928</v>
      </c>
      <c r="AC69" s="51"/>
      <c r="AD69" s="51">
        <f t="shared" si="36"/>
        <v>0</v>
      </c>
      <c r="AE69" s="64">
        <f t="shared" si="46"/>
        <v>283388.46507202747</v>
      </c>
      <c r="AF69" s="64">
        <f t="shared" si="47"/>
        <v>-70320.370014826636</v>
      </c>
      <c r="AG69" s="51">
        <f t="shared" si="37"/>
        <v>0</v>
      </c>
      <c r="AH69" s="64">
        <f t="shared" ca="1" si="48"/>
        <v>24056.3257405648</v>
      </c>
      <c r="AI69" s="64">
        <f t="shared" ca="1" si="49"/>
        <v>237124.4207977656</v>
      </c>
      <c r="AJ69" s="57"/>
      <c r="AK69" s="51">
        <f ca="1">SUM(AD69:AD$82,AG69:AG$82)/D69+SUM(AE70:AF$83,AH70:AH$82)/D69</f>
        <v>-2706379.6278767386</v>
      </c>
      <c r="AL69" s="51">
        <f>SUM(AE70:$AF$83)*$G$14/D69</f>
        <v>66670.736507484398</v>
      </c>
      <c r="AM69" s="51"/>
      <c r="AN69" s="51">
        <f ca="1">-SUM(AD69:$AD$83,AH69:$AH$83)/D69</f>
        <v>4904321.2355109807</v>
      </c>
      <c r="AO69" s="51">
        <f ca="1">-SUM(W69:$W$83,AA69:$AA$83)</f>
        <v>5048662.8615651466</v>
      </c>
      <c r="AQ69" s="9">
        <f t="shared" ca="1" si="38"/>
        <v>-648845.44206724595</v>
      </c>
      <c r="AR69" s="9">
        <f t="shared" si="39"/>
        <v>-29545.118028399855</v>
      </c>
      <c r="AS69" s="9">
        <f t="shared" ca="1" si="40"/>
        <v>984979.80890313629</v>
      </c>
    </row>
    <row r="70" spans="1:45" outlineLevel="1" x14ac:dyDescent="0.55000000000000004">
      <c r="A70" s="9"/>
      <c r="B70" s="1" t="s">
        <v>9</v>
      </c>
      <c r="C70" s="3">
        <v>4</v>
      </c>
      <c r="D70" s="87">
        <f t="shared" si="50"/>
        <v>0.98039215686274483</v>
      </c>
      <c r="E70" s="4"/>
      <c r="F70" s="84">
        <f t="shared" si="41"/>
        <v>0.8</v>
      </c>
      <c r="G70" s="84">
        <f t="shared" si="51"/>
        <v>0.82294850537622566</v>
      </c>
      <c r="H70" s="153">
        <f t="shared" si="52"/>
        <v>0.78431372549019596</v>
      </c>
      <c r="I70" s="4"/>
      <c r="J70" s="98">
        <v>1</v>
      </c>
      <c r="K70" s="94">
        <f t="shared" si="42"/>
        <v>6.25E-2</v>
      </c>
      <c r="L70" s="47">
        <f t="shared" si="53"/>
        <v>0.82294850537622566</v>
      </c>
      <c r="M70" s="47">
        <f t="shared" si="54"/>
        <v>0.80681226017277008</v>
      </c>
      <c r="N70" s="4"/>
      <c r="O70" s="98">
        <v>1</v>
      </c>
      <c r="P70" s="94">
        <f t="shared" si="43"/>
        <v>6.25E-2</v>
      </c>
      <c r="Q70" s="154">
        <f t="shared" si="55"/>
        <v>0.82294850537622566</v>
      </c>
      <c r="R70" s="154">
        <f t="shared" si="56"/>
        <v>0.80681226017277008</v>
      </c>
      <c r="S70" s="51"/>
      <c r="T70" s="137">
        <v>0.20709640104961757</v>
      </c>
      <c r="U70" s="135">
        <f t="shared" si="57"/>
        <v>0.20709640104961757</v>
      </c>
      <c r="W70" s="63">
        <f t="shared" si="35"/>
        <v>-900000</v>
      </c>
      <c r="X70" s="63">
        <f t="shared" si="58"/>
        <v>272700</v>
      </c>
      <c r="Y70" s="63">
        <f t="shared" si="59"/>
        <v>-67500</v>
      </c>
      <c r="Z70" s="63">
        <v>0</v>
      </c>
      <c r="AA70" s="63">
        <f t="shared" ca="1" si="44"/>
        <v>0</v>
      </c>
      <c r="AB70" s="64">
        <f t="shared" ca="1" si="45"/>
        <v>-694800</v>
      </c>
      <c r="AC70" s="51"/>
      <c r="AD70" s="51">
        <f t="shared" si="36"/>
        <v>-882352.94117647037</v>
      </c>
      <c r="AE70" s="64">
        <f t="shared" si="46"/>
        <v>267352.94117647054</v>
      </c>
      <c r="AF70" s="64">
        <f t="shared" si="47"/>
        <v>-66176.470588235272</v>
      </c>
      <c r="AG70" s="51">
        <f t="shared" si="37"/>
        <v>0</v>
      </c>
      <c r="AH70" s="64">
        <f t="shared" ca="1" si="48"/>
        <v>0</v>
      </c>
      <c r="AI70" s="64">
        <f t="shared" ca="1" si="49"/>
        <v>-681176.47058823507</v>
      </c>
      <c r="AJ70" s="57"/>
      <c r="AK70" s="51">
        <f ca="1">SUM(AD70:AD$82,AG70:AG$82)/D70+SUM(AE71:AF$83,AH71:AH$82)/D70</f>
        <v>-2925011.2047810033</v>
      </c>
      <c r="AL70" s="51">
        <f>SUM(AE71:$AF$83)*$G$14/D70</f>
        <v>60845.618810706146</v>
      </c>
      <c r="AM70" s="51"/>
      <c r="AN70" s="51">
        <f ca="1">-SUM(AD70:$AD$83,AH70:$AH$83)/D70</f>
        <v>4953198.4984712079</v>
      </c>
      <c r="AO70" s="51">
        <f ca="1">-SUM(W70:$W$83,AA70:$AA$83)</f>
        <v>5073079.1375137176</v>
      </c>
      <c r="AQ70" s="9">
        <f t="shared" ca="1" si="38"/>
        <v>-652065.61759781046</v>
      </c>
      <c r="AR70" s="9">
        <f t="shared" si="39"/>
        <v>-25587.748427497034</v>
      </c>
      <c r="AS70" s="9">
        <f t="shared" ca="1" si="40"/>
        <v>984979.80890313629</v>
      </c>
    </row>
    <row r="71" spans="1:45" outlineLevel="1" x14ac:dyDescent="0.55000000000000004">
      <c r="A71" s="9"/>
      <c r="B71" s="1" t="s">
        <v>15</v>
      </c>
      <c r="C71" s="3">
        <v>5</v>
      </c>
      <c r="D71" s="87">
        <f t="shared" si="50"/>
        <v>0.97555056615670888</v>
      </c>
      <c r="E71" s="4"/>
      <c r="F71" s="84">
        <f t="shared" si="41"/>
        <v>0.75659328720254071</v>
      </c>
      <c r="G71" s="84">
        <f t="shared" si="51"/>
        <v>0.77829664360127038</v>
      </c>
      <c r="H71" s="153">
        <f t="shared" si="52"/>
        <v>0.73809500968080399</v>
      </c>
      <c r="I71" s="4"/>
      <c r="J71" s="98">
        <v>1</v>
      </c>
      <c r="K71" s="94">
        <f t="shared" si="42"/>
        <v>6.25E-2</v>
      </c>
      <c r="L71" s="47">
        <f t="shared" si="53"/>
        <v>0.77829664360127038</v>
      </c>
      <c r="M71" s="47">
        <f t="shared" si="54"/>
        <v>0.75926773130308556</v>
      </c>
      <c r="N71" s="4"/>
      <c r="O71" s="98">
        <v>1</v>
      </c>
      <c r="P71" s="94">
        <f t="shared" si="43"/>
        <v>6.25E-2</v>
      </c>
      <c r="Q71" s="154">
        <f t="shared" si="55"/>
        <v>0.77829664360127038</v>
      </c>
      <c r="R71" s="154">
        <f t="shared" si="56"/>
        <v>0.75926773130308556</v>
      </c>
      <c r="S71" s="51"/>
      <c r="T71" s="137">
        <v>8.3175297485096111E-2</v>
      </c>
      <c r="U71" s="135">
        <f t="shared" si="57"/>
        <v>8.3175297485096111E-2</v>
      </c>
      <c r="W71" s="63">
        <f t="shared" si="35"/>
        <v>0</v>
      </c>
      <c r="X71" s="63">
        <f t="shared" si="58"/>
        <v>258546.09227743812</v>
      </c>
      <c r="Y71" s="63">
        <f t="shared" si="59"/>
        <v>-63837.558607714374</v>
      </c>
      <c r="Z71" s="63">
        <v>0</v>
      </c>
      <c r="AA71" s="63">
        <f t="shared" ca="1" si="44"/>
        <v>19533.020758856699</v>
      </c>
      <c r="AB71" s="64">
        <f t="shared" ca="1" si="45"/>
        <v>214241.55442858045</v>
      </c>
      <c r="AC71" s="51"/>
      <c r="AD71" s="51">
        <f t="shared" si="36"/>
        <v>0</v>
      </c>
      <c r="AE71" s="64">
        <f t="shared" si="46"/>
        <v>252224.78669885945</v>
      </c>
      <c r="AF71" s="64">
        <f t="shared" si="47"/>
        <v>-62276.766441817839</v>
      </c>
      <c r="AG71" s="51">
        <f t="shared" si="37"/>
        <v>0</v>
      </c>
      <c r="AH71" s="64">
        <f t="shared" ca="1" si="48"/>
        <v>19055.449460053402</v>
      </c>
      <c r="AI71" s="64">
        <f t="shared" ca="1" si="49"/>
        <v>209003.46971709502</v>
      </c>
      <c r="AJ71" s="57"/>
      <c r="AK71" s="51">
        <f ca="1">SUM(AD71:AD$82,AG71:AG$82)/D71+SUM(AE72:AF$83,AH72:AH$82)/D71</f>
        <v>-2249302.7512538834</v>
      </c>
      <c r="AL71" s="51">
        <f>SUM(AE72:$AF$83)*$G$14/D71</f>
        <v>55306.335443301206</v>
      </c>
      <c r="AM71" s="51"/>
      <c r="AN71" s="51">
        <f ca="1">-SUM(AD71:$AD$83,AH71:$AH$83)/D71</f>
        <v>4073314.245271734</v>
      </c>
      <c r="AO71" s="51">
        <f ca="1">-SUM(W71:$W$83,AA71:$AA$83)</f>
        <v>4173079.1375137186</v>
      </c>
      <c r="AQ71" s="9">
        <f t="shared" ca="1" si="38"/>
        <v>-655301.77463918808</v>
      </c>
      <c r="AR71" s="9">
        <f t="shared" si="39"/>
        <v>-21820.567998660605</v>
      </c>
      <c r="AS71" s="9">
        <f t="shared" ca="1" si="40"/>
        <v>984979.80890313722</v>
      </c>
    </row>
    <row r="72" spans="1:45" outlineLevel="1" x14ac:dyDescent="0.55000000000000004">
      <c r="A72" s="9"/>
      <c r="B72" s="1" t="s">
        <v>16</v>
      </c>
      <c r="C72" s="3">
        <v>6</v>
      </c>
      <c r="D72" s="87">
        <f t="shared" si="50"/>
        <v>0.9707328852712489</v>
      </c>
      <c r="E72" s="4"/>
      <c r="F72" s="84">
        <f t="shared" si="41"/>
        <v>0.71554175279993271</v>
      </c>
      <c r="G72" s="84">
        <f t="shared" si="51"/>
        <v>0.73606752000123676</v>
      </c>
      <c r="H72" s="153">
        <f t="shared" si="52"/>
        <v>0.69459991022752543</v>
      </c>
      <c r="I72" s="4"/>
      <c r="J72" s="98">
        <v>1</v>
      </c>
      <c r="K72" s="94">
        <f t="shared" si="42"/>
        <v>6.25E-2</v>
      </c>
      <c r="L72" s="47">
        <f t="shared" si="53"/>
        <v>0.73606752000123676</v>
      </c>
      <c r="M72" s="47">
        <f t="shared" si="54"/>
        <v>0.7145249474452533</v>
      </c>
      <c r="N72" s="4"/>
      <c r="O72" s="98">
        <v>1</v>
      </c>
      <c r="P72" s="94">
        <f t="shared" si="43"/>
        <v>6.25E-2</v>
      </c>
      <c r="Q72" s="154">
        <f t="shared" si="55"/>
        <v>0.73606752000123676</v>
      </c>
      <c r="R72" s="154">
        <f t="shared" si="56"/>
        <v>0.7145249474452533</v>
      </c>
      <c r="S72" s="51"/>
      <c r="T72" s="137">
        <v>5.1890782453176132E-2</v>
      </c>
      <c r="U72" s="135">
        <f t="shared" si="57"/>
        <v>5.1890782453176132E-2</v>
      </c>
      <c r="W72" s="63">
        <f t="shared" si="35"/>
        <v>-804984.47189992433</v>
      </c>
      <c r="X72" s="63">
        <f t="shared" si="58"/>
        <v>245126.81273169606</v>
      </c>
      <c r="Y72" s="63">
        <f t="shared" si="59"/>
        <v>-60373.835392494322</v>
      </c>
      <c r="Z72" s="63">
        <v>0</v>
      </c>
      <c r="AA72" s="63">
        <f t="shared" ca="1" si="44"/>
        <v>0</v>
      </c>
      <c r="AB72" s="64">
        <f t="shared" ca="1" si="45"/>
        <v>-620231.49456072261</v>
      </c>
      <c r="AC72" s="51"/>
      <c r="AD72" s="51">
        <f t="shared" si="36"/>
        <v>-781424.89900596614</v>
      </c>
      <c r="AE72" s="64">
        <f t="shared" si="46"/>
        <v>237952.65818038443</v>
      </c>
      <c r="AF72" s="64">
        <f t="shared" si="47"/>
        <v>-58606.867425447461</v>
      </c>
      <c r="AG72" s="51">
        <f t="shared" si="37"/>
        <v>0</v>
      </c>
      <c r="AH72" s="64">
        <f t="shared" ca="1" si="48"/>
        <v>0</v>
      </c>
      <c r="AI72" s="64">
        <f t="shared" ca="1" si="49"/>
        <v>-602079.10825102916</v>
      </c>
      <c r="AJ72" s="57"/>
      <c r="AK72" s="51">
        <f ca="1">SUM(AD72:AD$82,AG72:AG$82)/D72+SUM(AE73:AF$83,AH73:AH$82)/D72</f>
        <v>-2445218.8642349774</v>
      </c>
      <c r="AL72" s="51">
        <f>SUM(AE73:$AF$83)*$G$14/D72</f>
        <v>50038.227681494915</v>
      </c>
      <c r="AM72" s="51"/>
      <c r="AN72" s="51">
        <f ca="1">-SUM(AD72:$AD$83,AH72:$AH$83)/D72</f>
        <v>4113159.7869514748</v>
      </c>
      <c r="AO72" s="51">
        <f ca="1">-SUM(W72:$W$83,AA72:$AA$83)</f>
        <v>4192612.1582725751</v>
      </c>
      <c r="AQ72" s="9">
        <f t="shared" ca="1" si="38"/>
        <v>-658553.99250652129</v>
      </c>
      <c r="AR72" s="9">
        <f t="shared" si="39"/>
        <v>-18233.802437742343</v>
      </c>
      <c r="AS72" s="9">
        <f t="shared" ca="1" si="40"/>
        <v>984979.80890313722</v>
      </c>
    </row>
    <row r="73" spans="1:45" outlineLevel="1" x14ac:dyDescent="0.55000000000000004">
      <c r="A73" s="9"/>
      <c r="B73" s="1" t="s">
        <v>17</v>
      </c>
      <c r="C73" s="3">
        <v>7</v>
      </c>
      <c r="D73" s="87">
        <f t="shared" si="50"/>
        <v>0.96593899612956868</v>
      </c>
      <c r="E73" s="4"/>
      <c r="F73" s="84">
        <f t="shared" si="41"/>
        <v>0.83161897782507621</v>
      </c>
      <c r="G73" s="84">
        <f t="shared" si="51"/>
        <v>0.7735803653125044</v>
      </c>
      <c r="H73" s="153">
        <f t="shared" si="52"/>
        <v>0.80329320060265219</v>
      </c>
      <c r="I73" s="4"/>
      <c r="J73" s="98">
        <v>1</v>
      </c>
      <c r="K73" s="94">
        <f t="shared" si="42"/>
        <v>6.25E-2</v>
      </c>
      <c r="L73" s="47">
        <f t="shared" si="53"/>
        <v>0.7735803653125044</v>
      </c>
      <c r="M73" s="47">
        <f t="shared" si="54"/>
        <v>0.74723144149550547</v>
      </c>
      <c r="N73" s="4"/>
      <c r="O73" s="98">
        <v>1</v>
      </c>
      <c r="P73" s="94">
        <f t="shared" si="43"/>
        <v>6.25E-2</v>
      </c>
      <c r="Q73" s="154">
        <f t="shared" si="55"/>
        <v>0.7735803653125044</v>
      </c>
      <c r="R73" s="154">
        <f t="shared" si="56"/>
        <v>0.74723144149550547</v>
      </c>
      <c r="S73" s="51"/>
      <c r="T73" s="137">
        <v>2.7830892374108518E-2</v>
      </c>
      <c r="U73" s="135">
        <f t="shared" si="57"/>
        <v>2.7830892374108518E-2</v>
      </c>
      <c r="W73" s="63">
        <f t="shared" si="35"/>
        <v>0</v>
      </c>
      <c r="X73" s="63">
        <f t="shared" si="58"/>
        <v>237706.1941644758</v>
      </c>
      <c r="Y73" s="63">
        <f t="shared" si="59"/>
        <v>-46778.567502660539</v>
      </c>
      <c r="Z73" s="63">
        <v>0</v>
      </c>
      <c r="AA73" s="63">
        <f t="shared" ca="1" si="44"/>
        <v>-46720.181843236911</v>
      </c>
      <c r="AB73" s="64">
        <f t="shared" ca="1" si="45"/>
        <v>144207.44481857837</v>
      </c>
      <c r="AC73" s="51"/>
      <c r="AD73" s="51">
        <f t="shared" si="36"/>
        <v>0</v>
      </c>
      <c r="AE73" s="64">
        <f t="shared" si="46"/>
        <v>229609.68256501408</v>
      </c>
      <c r="AF73" s="64">
        <f t="shared" si="47"/>
        <v>-45185.242533899189</v>
      </c>
      <c r="AG73" s="51">
        <f t="shared" si="37"/>
        <v>0</v>
      </c>
      <c r="AH73" s="64">
        <f t="shared" ca="1" si="48"/>
        <v>-45128.845548647165</v>
      </c>
      <c r="AI73" s="64">
        <f t="shared" ca="1" si="49"/>
        <v>139295.59448246774</v>
      </c>
      <c r="AJ73" s="57"/>
      <c r="AK73" s="51">
        <f ca="1">SUM(AD73:AD$82,AG73:AG$82)/D73+SUM(AE74:AF$83,AH74:AH$82)/D73</f>
        <v>-1792582.2082068059</v>
      </c>
      <c r="AL73" s="51">
        <f>SUM(AE74:$AF$83)*$G$14/D73</f>
        <v>44558.735181668097</v>
      </c>
      <c r="AM73" s="51"/>
      <c r="AN73" s="51">
        <f ca="1">-SUM(AD73:$AD$83,AH73:$AH$83)/D73</f>
        <v>3324593.5627723131</v>
      </c>
      <c r="AO73" s="51">
        <f ca="1">-SUM(W73:$W$83,AA73:$AA$83)</f>
        <v>3387627.6863726517</v>
      </c>
      <c r="AQ73" s="9">
        <f t="shared" ca="1" si="38"/>
        <v>-615097.39528058958</v>
      </c>
      <c r="AR73" s="9">
        <f t="shared" si="39"/>
        <v>-15286.82515943989</v>
      </c>
      <c r="AS73" s="9">
        <f t="shared" ca="1" si="40"/>
        <v>984979.80890313815</v>
      </c>
    </row>
    <row r="74" spans="1:45" outlineLevel="1" x14ac:dyDescent="0.55000000000000004">
      <c r="A74" s="9"/>
      <c r="B74" s="1" t="s">
        <v>18</v>
      </c>
      <c r="C74" s="3">
        <v>8</v>
      </c>
      <c r="D74" s="87">
        <f t="shared" si="50"/>
        <v>0.96116878123798488</v>
      </c>
      <c r="E74" s="4"/>
      <c r="F74" s="84">
        <f t="shared" si="41"/>
        <v>0.81</v>
      </c>
      <c r="G74" s="84">
        <f t="shared" si="51"/>
        <v>0.82080948891253813</v>
      </c>
      <c r="H74" s="153">
        <f t="shared" si="52"/>
        <v>0.77854671280276777</v>
      </c>
      <c r="I74" s="4"/>
      <c r="J74" s="98">
        <v>1</v>
      </c>
      <c r="K74" s="94">
        <f t="shared" si="42"/>
        <v>6.25E-2</v>
      </c>
      <c r="L74" s="47">
        <f t="shared" si="53"/>
        <v>0.82080948891253813</v>
      </c>
      <c r="M74" s="47">
        <f t="shared" si="54"/>
        <v>0.78893645608663754</v>
      </c>
      <c r="N74" s="4"/>
      <c r="O74" s="98">
        <v>1</v>
      </c>
      <c r="P74" s="94">
        <f t="shared" si="43"/>
        <v>6.25E-2</v>
      </c>
      <c r="Q74" s="154">
        <f t="shared" si="55"/>
        <v>0.82080948891253813</v>
      </c>
      <c r="R74" s="154">
        <f t="shared" si="56"/>
        <v>0.78893645608663754</v>
      </c>
      <c r="S74" s="51"/>
      <c r="T74" s="137">
        <v>1.5225286106495761E-2</v>
      </c>
      <c r="U74" s="135">
        <f t="shared" si="57"/>
        <v>1.5225286106495761E-2</v>
      </c>
      <c r="W74" s="63">
        <f t="shared" si="35"/>
        <v>-911250.00000000012</v>
      </c>
      <c r="X74" s="63">
        <f t="shared" si="58"/>
        <v>231815.59100580279</v>
      </c>
      <c r="Y74" s="63">
        <f t="shared" si="59"/>
        <v>-45562.5</v>
      </c>
      <c r="Z74" s="63">
        <v>0</v>
      </c>
      <c r="AA74" s="63">
        <f t="shared" ca="1" si="44"/>
        <v>0</v>
      </c>
      <c r="AB74" s="64">
        <f t="shared" ca="1" si="45"/>
        <v>-724996.90899419738</v>
      </c>
      <c r="AC74" s="51"/>
      <c r="AD74" s="51">
        <f t="shared" si="36"/>
        <v>-875865.05190311384</v>
      </c>
      <c r="AE74" s="64">
        <f t="shared" si="46"/>
        <v>222813.90907901066</v>
      </c>
      <c r="AF74" s="64">
        <f t="shared" si="47"/>
        <v>-43793.252595155689</v>
      </c>
      <c r="AG74" s="51">
        <f t="shared" si="37"/>
        <v>0</v>
      </c>
      <c r="AH74" s="64">
        <f t="shared" ca="1" si="48"/>
        <v>0</v>
      </c>
      <c r="AI74" s="64">
        <f t="shared" ca="1" si="49"/>
        <v>-696844.39541925886</v>
      </c>
      <c r="AJ74" s="57"/>
      <c r="AK74" s="51">
        <f ca="1">SUM(AD74:AD$82,AG74:AG$82)/D74+SUM(AE75:AF$83,AH75:AH$82)/D74</f>
        <v>-1987731.7620512813</v>
      </c>
      <c r="AL74" s="51">
        <f>SUM(AE75:$AF$83)*$G$14/D74</f>
        <v>39192.284405189144</v>
      </c>
      <c r="AM74" s="51"/>
      <c r="AN74" s="51">
        <f ca="1">-SUM(AD74:$AD$83,AH74:$AH$83)/D74</f>
        <v>3294141.2422242537</v>
      </c>
      <c r="AO74" s="51">
        <f ca="1">-SUM(W74:$W$83,AA74:$AA$83)</f>
        <v>3340907.5045294147</v>
      </c>
      <c r="AQ74" s="9">
        <f t="shared" ca="1" si="38"/>
        <v>-638061.57257002522</v>
      </c>
      <c r="AR74" s="9">
        <f t="shared" si="39"/>
        <v>-12633.20535685178</v>
      </c>
      <c r="AS74" s="9">
        <f t="shared" ca="1" si="40"/>
        <v>922633.21045281598</v>
      </c>
    </row>
    <row r="75" spans="1:45" outlineLevel="1" x14ac:dyDescent="0.55000000000000004">
      <c r="A75" s="9"/>
      <c r="B75" s="1" t="s">
        <v>19</v>
      </c>
      <c r="C75" s="3">
        <v>9</v>
      </c>
      <c r="D75" s="87">
        <f t="shared" si="50"/>
        <v>0.95642212368304769</v>
      </c>
      <c r="E75" s="4"/>
      <c r="F75" s="84">
        <f t="shared" ref="F75:F82" si="60">(1-IF(C75&lt;$F$8,$F$19,$G$19))^(C75/4)</f>
        <v>0.78894303460449045</v>
      </c>
      <c r="G75" s="84">
        <f t="shared" ref="G75:G82" si="61">AVERAGE(F74:F75)</f>
        <v>0.7994715173022453</v>
      </c>
      <c r="H75" s="153">
        <f t="shared" ref="H75:H82" si="62">F75*D75</f>
        <v>0.75456257262137494</v>
      </c>
      <c r="I75" s="4"/>
      <c r="J75" s="98">
        <v>1</v>
      </c>
      <c r="K75" s="94">
        <f t="shared" ref="K75:K82" si="63">J75/$J$85</f>
        <v>6.25E-2</v>
      </c>
      <c r="L75" s="47">
        <f t="shared" ref="L75:L82" si="64">J75*G75</f>
        <v>0.7994715173022453</v>
      </c>
      <c r="M75" s="47">
        <f t="shared" ref="M75:M82" si="65">L75*D75</f>
        <v>0.76463224640232186</v>
      </c>
      <c r="N75" s="4"/>
      <c r="O75" s="98">
        <v>1</v>
      </c>
      <c r="P75" s="94">
        <f t="shared" ref="P75:P82" si="66">O75/$O$85</f>
        <v>6.25E-2</v>
      </c>
      <c r="Q75" s="154">
        <f t="shared" ref="Q75:Q82" si="67">O75*G75</f>
        <v>0.7994715173022453</v>
      </c>
      <c r="R75" s="154">
        <f t="shared" ref="R75:R82" si="68">Q75*D75</f>
        <v>0.76463224640232186</v>
      </c>
      <c r="S75" s="51"/>
      <c r="T75" s="137">
        <v>1.3868361840445591E-2</v>
      </c>
      <c r="U75" s="135">
        <f t="shared" si="57"/>
        <v>1.3868361840445591E-2</v>
      </c>
      <c r="W75" s="63">
        <f t="shared" si="35"/>
        <v>0</v>
      </c>
      <c r="X75" s="63">
        <f t="shared" si="58"/>
        <v>226070.96303172651</v>
      </c>
      <c r="Y75" s="63">
        <f t="shared" si="59"/>
        <v>-44378.045696502588</v>
      </c>
      <c r="Z75" s="63">
        <v>0</v>
      </c>
      <c r="AA75" s="63">
        <f t="shared" ca="1" si="44"/>
        <v>9594.0798583290671</v>
      </c>
      <c r="AB75" s="64">
        <f t="shared" ref="AB75:AB82" ca="1" si="69">SUM(W75:AA75)</f>
        <v>191286.99719355299</v>
      </c>
      <c r="AC75" s="51"/>
      <c r="AD75" s="51">
        <f t="shared" si="36"/>
        <v>0</v>
      </c>
      <c r="AE75" s="64">
        <f t="shared" si="46"/>
        <v>216219.27056587563</v>
      </c>
      <c r="AF75" s="64">
        <f t="shared" si="47"/>
        <v>-42444.144709952343</v>
      </c>
      <c r="AG75" s="51">
        <f t="shared" si="37"/>
        <v>0</v>
      </c>
      <c r="AH75" s="64">
        <f t="shared" ca="1" si="48"/>
        <v>9175.9902328878397</v>
      </c>
      <c r="AI75" s="64">
        <f t="shared" ref="AI75:AI82" ca="1" si="70">SUM(AD75:AH75)</f>
        <v>182951.11608881113</v>
      </c>
      <c r="AJ75" s="57"/>
      <c r="AK75" s="51">
        <f ca="1">SUM(AD75:AD$82,AG75:AG$82)/D75+SUM(AE76:AF$83,AH76:AH$82)/D75</f>
        <v>-1273111.2645696967</v>
      </c>
      <c r="AL75" s="51">
        <f>SUM(AE76:$AF$83)*$G$14/D75</f>
        <v>33936.005510832925</v>
      </c>
      <c r="AM75" s="51"/>
      <c r="AN75" s="51">
        <f ca="1">-SUM(AD75:$AD$83,AH75:$AH$83)/D75</f>
        <v>2394717.3684057989</v>
      </c>
      <c r="AO75" s="51">
        <f ca="1">-SUM(W75:$W$83,AA75:$AA$83)</f>
        <v>2429657.5045294147</v>
      </c>
      <c r="AQ75" s="9">
        <f t="shared" ref="AQ75:AR75" ca="1" si="71">AK75-AK48</f>
        <v>-469979.73606469214</v>
      </c>
      <c r="AR75" s="9">
        <f t="shared" si="71"/>
        <v>-10254.930826944852</v>
      </c>
      <c r="AS75" s="9">
        <f t="shared" ca="1" si="40"/>
        <v>731383.21045281622</v>
      </c>
    </row>
    <row r="76" spans="1:45" outlineLevel="1" x14ac:dyDescent="0.55000000000000004">
      <c r="A76" s="9"/>
      <c r="B76" s="1" t="s">
        <v>20</v>
      </c>
      <c r="C76" s="3">
        <v>10</v>
      </c>
      <c r="D76" s="87">
        <f t="shared" si="50"/>
        <v>0.95169890712867522</v>
      </c>
      <c r="E76" s="4"/>
      <c r="F76" s="84">
        <f t="shared" si="60"/>
        <v>0.76843347142091623</v>
      </c>
      <c r="G76" s="84">
        <f t="shared" si="61"/>
        <v>0.77868825301270328</v>
      </c>
      <c r="H76" s="153">
        <f t="shared" si="62"/>
        <v>0.73131729495238007</v>
      </c>
      <c r="I76" s="4"/>
      <c r="J76" s="98">
        <v>1</v>
      </c>
      <c r="K76" s="94">
        <f t="shared" si="63"/>
        <v>6.25E-2</v>
      </c>
      <c r="L76" s="47">
        <f t="shared" si="64"/>
        <v>0.77868825301270328</v>
      </c>
      <c r="M76" s="47">
        <f t="shared" si="65"/>
        <v>0.74107675938612705</v>
      </c>
      <c r="N76" s="4"/>
      <c r="O76" s="98">
        <v>1</v>
      </c>
      <c r="P76" s="94">
        <f t="shared" si="66"/>
        <v>6.25E-2</v>
      </c>
      <c r="Q76" s="154">
        <f t="shared" si="67"/>
        <v>0.77868825301270328</v>
      </c>
      <c r="R76" s="154">
        <f t="shared" si="68"/>
        <v>0.74107675938612705</v>
      </c>
      <c r="S76" s="51"/>
      <c r="T76" s="137">
        <v>5.0809898881113407E-3</v>
      </c>
      <c r="U76" s="135">
        <f t="shared" si="57"/>
        <v>5.0809898881113407E-3</v>
      </c>
      <c r="W76" s="63">
        <f t="shared" si="35"/>
        <v>-864487.65534853074</v>
      </c>
      <c r="X76" s="63">
        <f t="shared" si="58"/>
        <v>220468.69282753687</v>
      </c>
      <c r="Y76" s="63">
        <f t="shared" si="59"/>
        <v>-43224.382767426541</v>
      </c>
      <c r="Z76" s="63">
        <v>0</v>
      </c>
      <c r="AA76" s="63">
        <f t="shared" ca="1" si="44"/>
        <v>0</v>
      </c>
      <c r="AB76" s="64">
        <f t="shared" ca="1" si="69"/>
        <v>-687243.34528842045</v>
      </c>
      <c r="AC76" s="51"/>
      <c r="AD76" s="51">
        <f t="shared" si="36"/>
        <v>-822731.95682142756</v>
      </c>
      <c r="AE76" s="64">
        <f t="shared" si="46"/>
        <v>209819.81402005444</v>
      </c>
      <c r="AF76" s="64">
        <f t="shared" si="47"/>
        <v>-41136.59784107138</v>
      </c>
      <c r="AG76" s="51">
        <f t="shared" si="37"/>
        <v>0</v>
      </c>
      <c r="AH76" s="64">
        <f t="shared" ca="1" si="48"/>
        <v>0</v>
      </c>
      <c r="AI76" s="64">
        <f t="shared" ca="1" si="70"/>
        <v>-654048.74064244458</v>
      </c>
      <c r="AJ76" s="57"/>
      <c r="AK76" s="51">
        <f ca="1">SUM(AD76:AD$82,AG76:AG$82)/D76+SUM(AE77:AF$83,AH77:AH$82)/D76</f>
        <v>-1456673.9387209415</v>
      </c>
      <c r="AL76" s="51">
        <f>SUM(AE77:$AF$83)*$G$14/D76</f>
        <v>28787.098282247753</v>
      </c>
      <c r="AM76" s="51"/>
      <c r="AN76" s="51">
        <f ca="1">-SUM(AD76:$AD$83,AH76:$AH$83)/D76</f>
        <v>2416243.8814625335</v>
      </c>
      <c r="AO76" s="51">
        <f ca="1">-SUM(W76:$W$83,AA76:$AA$83)</f>
        <v>2439251.5843877438</v>
      </c>
      <c r="AQ76" s="9">
        <f t="shared" ref="AQ76:AR76" ca="1" si="72">AK76-AK49</f>
        <v>-499793.12702246907</v>
      </c>
      <c r="AR76" s="9">
        <f t="shared" si="72"/>
        <v>-8134.9848300694794</v>
      </c>
      <c r="AS76" s="9">
        <f t="shared" ca="1" si="40"/>
        <v>728476.15702547715</v>
      </c>
    </row>
    <row r="77" spans="1:45" outlineLevel="1" x14ac:dyDescent="0.55000000000000004">
      <c r="A77" s="9"/>
      <c r="B77" s="1" t="s">
        <v>21</v>
      </c>
      <c r="C77" s="3">
        <v>11</v>
      </c>
      <c r="D77" s="87">
        <f t="shared" si="50"/>
        <v>0.94699901581330248</v>
      </c>
      <c r="E77" s="4"/>
      <c r="F77" s="84">
        <f t="shared" si="60"/>
        <v>0.74845708004256861</v>
      </c>
      <c r="G77" s="84">
        <f t="shared" si="61"/>
        <v>0.75844527573174236</v>
      </c>
      <c r="H77" s="153">
        <f t="shared" si="62"/>
        <v>0.7087881181788106</v>
      </c>
      <c r="I77" s="4"/>
      <c r="J77" s="98">
        <v>1</v>
      </c>
      <c r="K77" s="94">
        <f t="shared" si="63"/>
        <v>6.25E-2</v>
      </c>
      <c r="L77" s="47">
        <f t="shared" si="64"/>
        <v>0.75844527573174236</v>
      </c>
      <c r="M77" s="47">
        <f t="shared" si="65"/>
        <v>0.71824692966620884</v>
      </c>
      <c r="N77" s="4"/>
      <c r="O77" s="98">
        <v>1</v>
      </c>
      <c r="P77" s="94">
        <f t="shared" si="66"/>
        <v>6.25E-2</v>
      </c>
      <c r="Q77" s="154">
        <f t="shared" si="67"/>
        <v>0.75844527573174236</v>
      </c>
      <c r="R77" s="154">
        <f t="shared" si="68"/>
        <v>0.71824692966620884</v>
      </c>
      <c r="S77" s="51"/>
      <c r="T77" s="137">
        <v>6.0769058883075608E-3</v>
      </c>
      <c r="U77" s="135">
        <f t="shared" si="57"/>
        <v>6.0769058883075608E-3</v>
      </c>
      <c r="W77" s="63">
        <f t="shared" si="35"/>
        <v>0</v>
      </c>
      <c r="X77" s="63">
        <f t="shared" si="58"/>
        <v>215005.25262176839</v>
      </c>
      <c r="Y77" s="63">
        <f t="shared" si="59"/>
        <v>-42100.710752394487</v>
      </c>
      <c r="Z77" s="63">
        <v>0</v>
      </c>
      <c r="AA77" s="63">
        <f t="shared" ca="1" si="44"/>
        <v>8634.6718724961665</v>
      </c>
      <c r="AB77" s="64">
        <f t="shared" ca="1" si="69"/>
        <v>181539.21374187007</v>
      </c>
      <c r="AC77" s="51"/>
      <c r="AD77" s="51">
        <f t="shared" si="36"/>
        <v>0</v>
      </c>
      <c r="AE77" s="64">
        <f t="shared" si="46"/>
        <v>203609.76262750514</v>
      </c>
      <c r="AF77" s="64">
        <f t="shared" si="47"/>
        <v>-39869.331647558101</v>
      </c>
      <c r="AG77" s="51">
        <f t="shared" si="37"/>
        <v>0</v>
      </c>
      <c r="AH77" s="64">
        <f t="shared" ca="1" si="48"/>
        <v>8177.0257651246757</v>
      </c>
      <c r="AI77" s="64">
        <f t="shared" ca="1" si="70"/>
        <v>171917.45674507171</v>
      </c>
      <c r="AJ77" s="57"/>
      <c r="AK77" s="51">
        <f ca="1">SUM(AD77:AD$82,AG77:AG$82)/D77+SUM(AE78:AF$83,AH78:AH$82)/D77</f>
        <v>-776664.47711724788</v>
      </c>
      <c r="AL77" s="51">
        <f>SUM(AE78:$AF$83)*$G$14/D77</f>
        <v>23742.830425132419</v>
      </c>
      <c r="AM77" s="51"/>
      <c r="AN77" s="51">
        <f ca="1">-SUM(AD77:$AD$83,AH77:$AH$83)/D77</f>
        <v>1559457.4860824987</v>
      </c>
      <c r="AO77" s="51">
        <f ca="1">-SUM(W77:$W$83,AA77:$AA$83)</f>
        <v>1574763.9290392133</v>
      </c>
      <c r="AQ77" s="9">
        <f t="shared" ref="AQ77:AR77" ca="1" si="73">AK77-AK50</f>
        <v>-310113.44927111524</v>
      </c>
      <c r="AR77" s="9">
        <f t="shared" si="73"/>
        <v>-6257.293492805471</v>
      </c>
      <c r="AS77" s="9">
        <f t="shared" ca="1" si="40"/>
        <v>507976.07919688639</v>
      </c>
    </row>
    <row r="78" spans="1:45" outlineLevel="1" x14ac:dyDescent="0.55000000000000004">
      <c r="A78" s="9"/>
      <c r="B78" s="1" t="s">
        <v>22</v>
      </c>
      <c r="C78" s="3">
        <v>12</v>
      </c>
      <c r="D78" s="87">
        <f t="shared" si="50"/>
        <v>0.94232233454704384</v>
      </c>
      <c r="E78" s="4"/>
      <c r="F78" s="84">
        <f t="shared" si="60"/>
        <v>0.72900000000000009</v>
      </c>
      <c r="G78" s="84">
        <f t="shared" si="61"/>
        <v>0.73872854002128441</v>
      </c>
      <c r="H78" s="153">
        <f t="shared" si="62"/>
        <v>0.68695298188479503</v>
      </c>
      <c r="I78" s="4"/>
      <c r="J78" s="98">
        <v>1</v>
      </c>
      <c r="K78" s="94">
        <f t="shared" si="63"/>
        <v>6.25E-2</v>
      </c>
      <c r="L78" s="47">
        <f t="shared" si="64"/>
        <v>0.73872854002128441</v>
      </c>
      <c r="M78" s="47">
        <f t="shared" si="65"/>
        <v>0.696120402429386</v>
      </c>
      <c r="N78" s="4"/>
      <c r="O78" s="98">
        <v>1</v>
      </c>
      <c r="P78" s="94">
        <f t="shared" si="66"/>
        <v>6.25E-2</v>
      </c>
      <c r="Q78" s="154">
        <f t="shared" si="67"/>
        <v>0.73872854002128441</v>
      </c>
      <c r="R78" s="154">
        <f t="shared" si="68"/>
        <v>0.696120402429386</v>
      </c>
      <c r="S78" s="51"/>
      <c r="T78" s="137">
        <v>6.7969588236102014E-3</v>
      </c>
      <c r="U78" s="135">
        <f t="shared" si="57"/>
        <v>6.7969588236102014E-3</v>
      </c>
      <c r="W78" s="63">
        <f t="shared" si="35"/>
        <v>-820125.00000000012</v>
      </c>
      <c r="X78" s="63">
        <f t="shared" si="58"/>
        <v>209677.20206474859</v>
      </c>
      <c r="Y78" s="63">
        <f t="shared" si="59"/>
        <v>-41006.250000000007</v>
      </c>
      <c r="Z78" s="63">
        <v>0</v>
      </c>
      <c r="AA78" s="63">
        <f t="shared" ca="1" si="44"/>
        <v>0</v>
      </c>
      <c r="AB78" s="64">
        <f t="shared" ca="1" si="69"/>
        <v>-651454.0479352515</v>
      </c>
      <c r="AC78" s="51"/>
      <c r="AD78" s="51">
        <f t="shared" si="36"/>
        <v>-772822.10462039441</v>
      </c>
      <c r="AE78" s="64">
        <f t="shared" si="46"/>
        <v>197583.51055094614</v>
      </c>
      <c r="AF78" s="64">
        <f t="shared" si="47"/>
        <v>-38641.105231019726</v>
      </c>
      <c r="AG78" s="51">
        <f t="shared" si="37"/>
        <v>0</v>
      </c>
      <c r="AH78" s="64">
        <f t="shared" ca="1" si="48"/>
        <v>0</v>
      </c>
      <c r="AI78" s="64">
        <f t="shared" ca="1" si="70"/>
        <v>-613879.69930046797</v>
      </c>
      <c r="AJ78" s="57"/>
      <c r="AK78" s="51">
        <f ca="1">SUM(AD78:AD$82,AG78:AG$82)/D78+SUM(AE79:AF$83,AH79:AH$82)/D78</f>
        <v>-949189.96183726727</v>
      </c>
      <c r="AL78" s="51">
        <f>SUM(AE79:$AF$83)*$G$14/D78</f>
        <v>18800.535905944078</v>
      </c>
      <c r="AM78" s="51"/>
      <c r="AN78" s="51">
        <f ca="1">-SUM(AD78:$AD$83,AH78:$AH$83)/D78</f>
        <v>1575874.4920354031</v>
      </c>
      <c r="AO78" s="51">
        <f ca="1">-SUM(W78:$W$83,AA78:$AA$83)</f>
        <v>1583398.6009117095</v>
      </c>
      <c r="AQ78" s="9">
        <f t="shared" ref="AQ78:AR78" ca="1" si="74">AK78-AK51</f>
        <v>-345487.4603645266</v>
      </c>
      <c r="AR78" s="9">
        <f t="shared" si="74"/>
        <v>-4606.6759341861725</v>
      </c>
      <c r="AS78" s="9">
        <f t="shared" ca="1" si="40"/>
        <v>506609.84444084787</v>
      </c>
    </row>
    <row r="79" spans="1:45" outlineLevel="1" x14ac:dyDescent="0.55000000000000004">
      <c r="A79" s="9"/>
      <c r="B79" s="1" t="s">
        <v>23</v>
      </c>
      <c r="C79" s="3">
        <v>13</v>
      </c>
      <c r="D79" s="87">
        <f t="shared" si="50"/>
        <v>0.93766874870887007</v>
      </c>
      <c r="E79" s="4"/>
      <c r="F79" s="84">
        <f t="shared" si="60"/>
        <v>0.71004873114404132</v>
      </c>
      <c r="G79" s="84">
        <f t="shared" si="61"/>
        <v>0.71952436557202071</v>
      </c>
      <c r="H79" s="153">
        <f t="shared" si="62"/>
        <v>0.66579050525415417</v>
      </c>
      <c r="I79" s="4"/>
      <c r="J79" s="98">
        <v>1</v>
      </c>
      <c r="K79" s="94">
        <f t="shared" si="63"/>
        <v>6.25E-2</v>
      </c>
      <c r="L79" s="47">
        <f t="shared" si="64"/>
        <v>0.71952436557202071</v>
      </c>
      <c r="M79" s="47">
        <f t="shared" si="65"/>
        <v>0.67467551153146021</v>
      </c>
      <c r="N79" s="4"/>
      <c r="O79" s="98">
        <v>1</v>
      </c>
      <c r="P79" s="94">
        <f t="shared" si="66"/>
        <v>6.25E-2</v>
      </c>
      <c r="Q79" s="154">
        <f t="shared" si="67"/>
        <v>0.71952436557202071</v>
      </c>
      <c r="R79" s="154">
        <f t="shared" si="68"/>
        <v>0.67467551153146021</v>
      </c>
      <c r="S79" s="51"/>
      <c r="T79" s="137">
        <v>0</v>
      </c>
      <c r="U79" s="135">
        <f t="shared" si="57"/>
        <v>0</v>
      </c>
      <c r="W79" s="63">
        <f t="shared" si="35"/>
        <v>0</v>
      </c>
      <c r="X79" s="63">
        <f t="shared" si="58"/>
        <v>204481.18606219659</v>
      </c>
      <c r="Y79" s="63">
        <f t="shared" si="59"/>
        <v>-39940.241126852321</v>
      </c>
      <c r="Z79" s="63">
        <v>0</v>
      </c>
      <c r="AA79" s="63">
        <f t="shared" ca="1" si="44"/>
        <v>7771.2046852465937</v>
      </c>
      <c r="AB79" s="64">
        <f t="shared" ca="1" si="69"/>
        <v>172312.14962059088</v>
      </c>
      <c r="AC79" s="51"/>
      <c r="AD79" s="51">
        <f t="shared" si="36"/>
        <v>0</v>
      </c>
      <c r="AE79" s="64">
        <f t="shared" si="46"/>
        <v>191735.61786944553</v>
      </c>
      <c r="AF79" s="64">
        <f t="shared" si="47"/>
        <v>-37450.715920546165</v>
      </c>
      <c r="AG79" s="51">
        <f t="shared" si="37"/>
        <v>0</v>
      </c>
      <c r="AH79" s="64">
        <f t="shared" ca="1" si="48"/>
        <v>7286.8157731756819</v>
      </c>
      <c r="AI79" s="64">
        <f t="shared" ca="1" si="70"/>
        <v>161571.71772207506</v>
      </c>
      <c r="AJ79" s="57"/>
      <c r="AK79" s="51">
        <f ca="1">SUM(AD79:AD$82,AG79:AG$82)/D79+SUM(AE80:AF$83,AH80:AH$82)/D79</f>
        <v>-302017.65203195473</v>
      </c>
      <c r="AL79" s="51">
        <f>SUM(AE80:$AF$83)*$G$14/D79</f>
        <v>13957.61333112451</v>
      </c>
      <c r="AM79" s="51"/>
      <c r="AN79" s="51">
        <f ca="1">-SUM(AD79:$AD$83,AH79:$AH$83)/D79</f>
        <v>759500.22505085845</v>
      </c>
      <c r="AO79" s="51">
        <f ca="1">-SUM(W79:$W$83,AA79:$AA$83)</f>
        <v>763273.60091170913</v>
      </c>
      <c r="AQ79" s="9">
        <f t="shared" ref="AQ79:AR79" ca="1" si="75">AK79-AK52</f>
        <v>-138237.54115749034</v>
      </c>
      <c r="AR79" s="9">
        <f t="shared" si="75"/>
        <v>-3168.796975703779</v>
      </c>
      <c r="AS79" s="9">
        <f t="shared" ca="1" si="40"/>
        <v>262484.8444408474</v>
      </c>
    </row>
    <row r="80" spans="1:45" outlineLevel="1" x14ac:dyDescent="0.55000000000000004">
      <c r="A80" s="9"/>
      <c r="B80" s="1" t="s">
        <v>24</v>
      </c>
      <c r="C80" s="3">
        <v>14</v>
      </c>
      <c r="D80" s="87">
        <f t="shared" si="50"/>
        <v>0.93303814424379905</v>
      </c>
      <c r="E80" s="4"/>
      <c r="F80" s="84">
        <f t="shared" si="60"/>
        <v>0.6915901242788246</v>
      </c>
      <c r="G80" s="84">
        <f t="shared" si="61"/>
        <v>0.70081942771143302</v>
      </c>
      <c r="H80" s="153">
        <f t="shared" si="62"/>
        <v>0.64527996613445282</v>
      </c>
      <c r="I80" s="4"/>
      <c r="J80" s="98">
        <v>1</v>
      </c>
      <c r="K80" s="94">
        <f t="shared" si="63"/>
        <v>6.25E-2</v>
      </c>
      <c r="L80" s="47">
        <f t="shared" si="64"/>
        <v>0.70081942771143302</v>
      </c>
      <c r="M80" s="47">
        <f t="shared" si="65"/>
        <v>0.65389125828187677</v>
      </c>
      <c r="N80" s="4"/>
      <c r="O80" s="98">
        <v>1</v>
      </c>
      <c r="P80" s="94">
        <f t="shared" si="66"/>
        <v>6.25E-2</v>
      </c>
      <c r="Q80" s="154">
        <f t="shared" si="67"/>
        <v>0.70081942771143302</v>
      </c>
      <c r="R80" s="154">
        <f t="shared" si="68"/>
        <v>0.65389125828187677</v>
      </c>
      <c r="S80" s="51"/>
      <c r="T80" s="137">
        <v>0</v>
      </c>
      <c r="U80" s="135">
        <f t="shared" si="57"/>
        <v>0</v>
      </c>
      <c r="W80" s="63">
        <f t="shared" si="35"/>
        <v>-778038.88981367764</v>
      </c>
      <c r="X80" s="63">
        <f t="shared" si="58"/>
        <v>199413.93266250708</v>
      </c>
      <c r="Y80" s="63">
        <f t="shared" si="59"/>
        <v>-38901.944490683883</v>
      </c>
      <c r="Z80" s="63">
        <v>0</v>
      </c>
      <c r="AA80" s="63">
        <f t="shared" ca="1" si="44"/>
        <v>0</v>
      </c>
      <c r="AB80" s="64">
        <f t="shared" ca="1" si="69"/>
        <v>-617526.90164185443</v>
      </c>
      <c r="AC80" s="51"/>
      <c r="AD80" s="51">
        <f t="shared" si="36"/>
        <v>-725939.96190125949</v>
      </c>
      <c r="AE80" s="64">
        <f t="shared" si="46"/>
        <v>186060.80566778351</v>
      </c>
      <c r="AF80" s="64">
        <f t="shared" si="47"/>
        <v>-36296.998095062976</v>
      </c>
      <c r="AG80" s="51">
        <f t="shared" si="37"/>
        <v>0</v>
      </c>
      <c r="AH80" s="64">
        <f t="shared" ca="1" si="48"/>
        <v>0</v>
      </c>
      <c r="AI80" s="64">
        <f t="shared" ca="1" si="70"/>
        <v>-576176.15432853904</v>
      </c>
      <c r="AJ80" s="57"/>
      <c r="AK80" s="51">
        <f ca="1">SUM(AD80:AD$82,AG80:AG$82)/D80+SUM(AE81:AF$83,AH81:AH$82)/D80</f>
        <v>-464028.53314471216</v>
      </c>
      <c r="AL80" s="51">
        <f>SUM(AE81:$AF$83)*$G$14/D80</f>
        <v>9211.5243658574236</v>
      </c>
      <c r="AM80" s="51"/>
      <c r="AN80" s="51">
        <f ca="1">-SUM(AD80:$AD$83,AH80:$AH$83)/D80</f>
        <v>771079.34533995949</v>
      </c>
      <c r="AO80" s="51">
        <f ca="1">-SUM(W80:$W$83,AA80:$AA$83)</f>
        <v>771044.8055969557</v>
      </c>
      <c r="AQ80" s="9">
        <f t="shared" ref="AQ80:AR80" ca="1" si="76">AK80-AK53</f>
        <v>-178040.37597085634</v>
      </c>
      <c r="AR80" s="9">
        <f t="shared" si="76"/>
        <v>-1930.1223026147836</v>
      </c>
      <c r="AS80" s="9">
        <f t="shared" ca="1" si="40"/>
        <v>262255.32382326626</v>
      </c>
    </row>
    <row r="81" spans="1:45" outlineLevel="1" x14ac:dyDescent="0.55000000000000004">
      <c r="A81" s="9"/>
      <c r="B81" s="1" t="s">
        <v>25</v>
      </c>
      <c r="C81" s="3">
        <v>15</v>
      </c>
      <c r="D81" s="87">
        <f t="shared" si="50"/>
        <v>0.92843040766010021</v>
      </c>
      <c r="E81" s="4"/>
      <c r="F81" s="84">
        <f t="shared" si="60"/>
        <v>0.67361137203831178</v>
      </c>
      <c r="G81" s="84">
        <f t="shared" si="61"/>
        <v>0.68260074815856819</v>
      </c>
      <c r="H81" s="153">
        <f t="shared" si="62"/>
        <v>0.6254012807460092</v>
      </c>
      <c r="I81" s="4"/>
      <c r="J81" s="98">
        <v>1</v>
      </c>
      <c r="K81" s="94">
        <f t="shared" si="63"/>
        <v>6.25E-2</v>
      </c>
      <c r="L81" s="47">
        <f t="shared" si="64"/>
        <v>0.68260074815856819</v>
      </c>
      <c r="M81" s="47">
        <f t="shared" si="65"/>
        <v>0.63374729088194881</v>
      </c>
      <c r="N81" s="4"/>
      <c r="O81" s="98">
        <v>1</v>
      </c>
      <c r="P81" s="94">
        <f t="shared" si="66"/>
        <v>6.25E-2</v>
      </c>
      <c r="Q81" s="154">
        <f t="shared" si="67"/>
        <v>0.68260074815856819</v>
      </c>
      <c r="R81" s="154">
        <f t="shared" si="68"/>
        <v>0.63374729088194881</v>
      </c>
      <c r="S81" s="51"/>
      <c r="T81" s="137">
        <v>0</v>
      </c>
      <c r="U81" s="135">
        <f t="shared" si="57"/>
        <v>0</v>
      </c>
      <c r="W81" s="63">
        <f t="shared" si="35"/>
        <v>0</v>
      </c>
      <c r="X81" s="63">
        <f t="shared" si="58"/>
        <v>194472.25099638948</v>
      </c>
      <c r="Y81" s="63">
        <f t="shared" si="59"/>
        <v>-37890.639677155035</v>
      </c>
      <c r="Z81" s="63">
        <v>0</v>
      </c>
      <c r="AA81" s="63">
        <f t="shared" ca="1" si="44"/>
        <v>6994.0842167218816</v>
      </c>
      <c r="AB81" s="64">
        <f t="shared" ca="1" si="69"/>
        <v>163575.69553595633</v>
      </c>
      <c r="AC81" s="51"/>
      <c r="AD81" s="51">
        <f t="shared" si="36"/>
        <v>0</v>
      </c>
      <c r="AE81" s="64">
        <f t="shared" si="46"/>
        <v>180553.95127115521</v>
      </c>
      <c r="AF81" s="64">
        <f t="shared" si="47"/>
        <v>-35178.822041963016</v>
      </c>
      <c r="AG81" s="51">
        <f t="shared" si="37"/>
        <v>0</v>
      </c>
      <c r="AH81" s="64">
        <f t="shared" ca="1" si="48"/>
        <v>6493.5204605401696</v>
      </c>
      <c r="AI81" s="64">
        <f t="shared" ca="1" si="70"/>
        <v>151868.64968973235</v>
      </c>
      <c r="AJ81" s="57"/>
      <c r="AK81" s="51">
        <f ca="1">SUM(AD81:AD$82,AG81:AG$82)/D81+SUM(AE82:AF$83,AH82:AH$82)/D81</f>
        <v>151993.07304643467</v>
      </c>
      <c r="AL81" s="51">
        <f>SUM(AE82:$AF$83)*$G$14/D81</f>
        <v>4559.7921913930395</v>
      </c>
      <c r="AM81" s="51"/>
      <c r="AN81" s="51">
        <f ca="1">-SUM(AD81:$AD$83,AH81:$AH$83)/D81</f>
        <v>-6994.0842167218816</v>
      </c>
      <c r="AO81" s="51">
        <f ca="1">-SUM(W81:$W$83,AA81:$AA$83)</f>
        <v>-6994.0842167218816</v>
      </c>
      <c r="AQ81" s="9">
        <f t="shared" ref="AQ81:AR81" ca="1" si="77">AK81-AK54</f>
        <v>43239.710202186412</v>
      </c>
      <c r="AR81" s="9">
        <f t="shared" si="77"/>
        <v>-877.87595081937434</v>
      </c>
      <c r="AS81" s="9">
        <f t="shared" ca="1" si="40"/>
        <v>-593.50397445971248</v>
      </c>
    </row>
    <row r="82" spans="1:45" outlineLevel="1" x14ac:dyDescent="0.55000000000000004">
      <c r="A82" s="9"/>
      <c r="B82" s="1" t="s">
        <v>26</v>
      </c>
      <c r="C82" s="3">
        <v>16</v>
      </c>
      <c r="D82" s="87">
        <f t="shared" si="50"/>
        <v>0.92384542602651332</v>
      </c>
      <c r="E82" s="4"/>
      <c r="F82" s="84">
        <f t="shared" si="60"/>
        <v>0.65610000000000013</v>
      </c>
      <c r="G82" s="84">
        <f t="shared" si="61"/>
        <v>0.6648556860191559</v>
      </c>
      <c r="H82" s="153">
        <f t="shared" si="62"/>
        <v>0.60613498401599553</v>
      </c>
      <c r="I82" s="4"/>
      <c r="J82" s="98">
        <v>1</v>
      </c>
      <c r="K82" s="94">
        <f t="shared" si="63"/>
        <v>6.25E-2</v>
      </c>
      <c r="L82" s="47">
        <f t="shared" si="64"/>
        <v>0.6648556860191559</v>
      </c>
      <c r="M82" s="47">
        <f t="shared" si="65"/>
        <v>0.61422388449651688</v>
      </c>
      <c r="N82" s="4"/>
      <c r="O82" s="98">
        <v>1</v>
      </c>
      <c r="P82" s="94">
        <f t="shared" si="66"/>
        <v>6.25E-2</v>
      </c>
      <c r="Q82" s="154">
        <f t="shared" si="67"/>
        <v>0.6648556860191559</v>
      </c>
      <c r="R82" s="154">
        <f t="shared" si="68"/>
        <v>0.61422388449651688</v>
      </c>
      <c r="S82" s="51"/>
      <c r="T82" s="137">
        <v>0</v>
      </c>
      <c r="U82" s="135">
        <f t="shared" si="57"/>
        <v>0</v>
      </c>
      <c r="W82" s="63">
        <f t="shared" si="35"/>
        <v>0</v>
      </c>
      <c r="X82" s="63">
        <f t="shared" si="58"/>
        <v>189653.02926756509</v>
      </c>
      <c r="Y82" s="63">
        <f t="shared" si="59"/>
        <v>-36905.625000000007</v>
      </c>
      <c r="Z82" s="63">
        <v>0</v>
      </c>
      <c r="AA82" s="63">
        <f t="shared" ca="1" si="44"/>
        <v>0</v>
      </c>
      <c r="AB82" s="64">
        <f t="shared" ca="1" si="69"/>
        <v>152747.40426756509</v>
      </c>
      <c r="AC82" s="51"/>
      <c r="AD82" s="51">
        <f t="shared" si="36"/>
        <v>0</v>
      </c>
      <c r="AE82" s="64">
        <f t="shared" si="46"/>
        <v>175210.08362091245</v>
      </c>
      <c r="AF82" s="64">
        <f t="shared" si="47"/>
        <v>-34095.092850899746</v>
      </c>
      <c r="AG82" s="51">
        <f t="shared" si="37"/>
        <v>0</v>
      </c>
      <c r="AH82" s="64">
        <f t="shared" ca="1" si="48"/>
        <v>0</v>
      </c>
      <c r="AI82" s="64">
        <f t="shared" ca="1" si="70"/>
        <v>141114.99077001272</v>
      </c>
      <c r="AJ82" s="57"/>
      <c r="AK82" s="51">
        <f ca="1">SUM(AD82:AD$82,AG82:AG$82)/D82+SUM(AE83:AF$83,AH$82:AH83)/D82</f>
        <v>0</v>
      </c>
      <c r="AL82" s="51">
        <f>SUM(AE83:$AF$83)*$G$14/D82</f>
        <v>0</v>
      </c>
      <c r="AM82" s="51"/>
      <c r="AN82" s="51">
        <f ca="1">-SUM(AD82:$AD$83,AH82:$AH$83)/D82</f>
        <v>0</v>
      </c>
      <c r="AO82" s="51">
        <f ca="1">-SUM(W82:$W$83,AA82:$AA$83)</f>
        <v>0</v>
      </c>
      <c r="AQ82" s="9">
        <f t="shared" ref="AQ82:AR82" ca="1" si="78">AK82-AK55</f>
        <v>0</v>
      </c>
      <c r="AR82" s="9">
        <f t="shared" si="78"/>
        <v>0</v>
      </c>
      <c r="AS82" s="9">
        <f t="shared" ca="1" si="40"/>
        <v>0</v>
      </c>
    </row>
    <row r="83" spans="1:45" outlineLevel="1" x14ac:dyDescent="0.55000000000000004">
      <c r="B83" s="8"/>
      <c r="C83" s="6"/>
      <c r="D83" s="7"/>
      <c r="E83" s="2"/>
      <c r="F83" s="85"/>
      <c r="G83" s="85"/>
      <c r="H83" s="79"/>
      <c r="I83" s="2"/>
      <c r="J83" s="6"/>
      <c r="K83" s="6"/>
      <c r="L83" s="71"/>
      <c r="M83" s="90"/>
      <c r="N83" s="2"/>
      <c r="O83" s="12"/>
      <c r="P83" s="12"/>
      <c r="Q83" s="50"/>
      <c r="R83" s="90"/>
      <c r="S83" s="55"/>
      <c r="T83" s="136"/>
      <c r="U83" s="136"/>
      <c r="W83" s="66"/>
      <c r="X83" s="66"/>
      <c r="Y83" s="66"/>
      <c r="Z83" s="66"/>
      <c r="AA83" s="66"/>
      <c r="AB83" s="66"/>
      <c r="AC83" s="55"/>
      <c r="AD83" s="67"/>
      <c r="AE83" s="68"/>
      <c r="AF83" s="68"/>
      <c r="AG83" s="67"/>
      <c r="AH83" s="67"/>
      <c r="AI83" s="68"/>
      <c r="AJ83" s="57"/>
      <c r="AK83" s="67"/>
      <c r="AL83" s="67"/>
      <c r="AM83" s="51"/>
      <c r="AN83" s="121"/>
      <c r="AO83" s="121"/>
      <c r="AQ83" s="67"/>
      <c r="AR83" s="67"/>
      <c r="AS83" s="67"/>
    </row>
    <row r="84" spans="1:45" outlineLevel="1" x14ac:dyDescent="0.55000000000000004">
      <c r="A84" s="9"/>
      <c r="B84" s="4"/>
      <c r="C84" s="4"/>
      <c r="D84" s="4"/>
      <c r="E84" s="4"/>
      <c r="F84" s="3"/>
      <c r="G84" s="3"/>
      <c r="H84" s="4"/>
      <c r="I84" s="4"/>
      <c r="J84" s="4"/>
      <c r="K84" s="4"/>
      <c r="L84" s="51"/>
      <c r="M84" s="51"/>
      <c r="N84" s="4"/>
      <c r="O84" s="4"/>
      <c r="P84" s="4"/>
      <c r="Q84" s="51"/>
      <c r="R84" s="51"/>
      <c r="S84" s="51"/>
      <c r="T84" s="4"/>
      <c r="U84" s="4"/>
      <c r="W84" s="51"/>
      <c r="X84" s="51"/>
      <c r="Y84" s="51"/>
      <c r="Z84" s="51"/>
      <c r="AA84" s="51"/>
      <c r="AB84" s="51"/>
      <c r="AC84" s="51"/>
      <c r="AD84" s="51"/>
      <c r="AE84" s="51"/>
      <c r="AF84" s="51"/>
      <c r="AG84" s="51"/>
      <c r="AH84" s="51"/>
      <c r="AI84" s="51"/>
      <c r="AJ84" s="57"/>
      <c r="AK84" s="51"/>
      <c r="AL84" s="51"/>
      <c r="AM84" s="51"/>
      <c r="AN84" s="70"/>
      <c r="AO84" s="70"/>
      <c r="AQ84" s="51"/>
      <c r="AR84" s="51"/>
      <c r="AS84" s="51"/>
    </row>
    <row r="85" spans="1:45" outlineLevel="1" x14ac:dyDescent="0.55000000000000004">
      <c r="A85" s="9"/>
      <c r="B85" s="24"/>
      <c r="C85" s="24"/>
      <c r="D85" s="25"/>
      <c r="E85" s="4"/>
      <c r="F85" s="26"/>
      <c r="G85" s="26"/>
      <c r="H85" s="26"/>
      <c r="I85" s="4"/>
      <c r="J85" s="80">
        <f>SUM(J67:J82)</f>
        <v>16</v>
      </c>
      <c r="K85" s="95">
        <f>SUM(K67:K82)</f>
        <v>1</v>
      </c>
      <c r="L85" s="81">
        <f>SUM(L67:L82)</f>
        <v>12.537953642112248</v>
      </c>
      <c r="M85" s="81">
        <f>SUM(M67:M82)</f>
        <v>12.049806761297376</v>
      </c>
      <c r="N85" s="4"/>
      <c r="O85" s="80">
        <f>SUM(O67:O82)</f>
        <v>16</v>
      </c>
      <c r="P85" s="95">
        <f>SUM(P67:P82)</f>
        <v>1</v>
      </c>
      <c r="Q85" s="81">
        <f>SUM(Q67:Q82)</f>
        <v>12.537953642112248</v>
      </c>
      <c r="R85" s="81">
        <f>SUM(R67:R82)</f>
        <v>12.049806761297376</v>
      </c>
      <c r="S85" s="52"/>
      <c r="T85" s="80">
        <f>SUM(T67:T82)</f>
        <v>1</v>
      </c>
      <c r="U85" s="95">
        <f>SUM(U67:U82)</f>
        <v>1</v>
      </c>
      <c r="W85" s="52">
        <f t="shared" ref="W85:AB85" si="79">SUM(W66:W82)</f>
        <v>-7210116.6069370387</v>
      </c>
      <c r="X85" s="52">
        <f t="shared" si="79"/>
        <v>3816123.5079742712</v>
      </c>
      <c r="Y85" s="52">
        <f t="shared" si="79"/>
        <v>-835037.10379638313</v>
      </c>
      <c r="Z85" s="52">
        <f t="shared" si="79"/>
        <v>-900000</v>
      </c>
      <c r="AA85" s="52">
        <f t="shared" ca="1" si="79"/>
        <v>60743.500432697976</v>
      </c>
      <c r="AB85" s="52">
        <f t="shared" ca="1" si="79"/>
        <v>-5068286.7023264514</v>
      </c>
      <c r="AC85" s="51"/>
      <c r="AD85" s="52">
        <f t="shared" ref="AD85:AI85" si="80">SUM(AD66:AD82)</f>
        <v>-6982453.6616612393</v>
      </c>
      <c r="AE85" s="52">
        <f t="shared" si="80"/>
        <v>3672923.6176001341</v>
      </c>
      <c r="AF85" s="52">
        <f t="shared" si="80"/>
        <v>-805598.41111821902</v>
      </c>
      <c r="AG85" s="52">
        <f t="shared" si="80"/>
        <v>-900000</v>
      </c>
      <c r="AH85" s="52">
        <f t="shared" ca="1" si="80"/>
        <v>59485.904460659527</v>
      </c>
      <c r="AI85" s="52">
        <f t="shared" ca="1" si="80"/>
        <v>-4955642.5507186642</v>
      </c>
      <c r="AJ85" s="52"/>
      <c r="AK85" s="52"/>
      <c r="AL85" s="52"/>
      <c r="AM85" s="51"/>
      <c r="AN85" s="70"/>
      <c r="AO85" s="70"/>
      <c r="AQ85" s="52"/>
      <c r="AR85" s="52"/>
      <c r="AS85" s="52"/>
    </row>
    <row r="86" spans="1:45" ht="15.3" x14ac:dyDescent="0.55000000000000004">
      <c r="A86" s="9"/>
      <c r="B86" s="24"/>
      <c r="C86" s="24"/>
      <c r="D86" s="4"/>
      <c r="E86" s="4"/>
      <c r="F86" s="4"/>
      <c r="G86" s="4"/>
      <c r="H86" s="4"/>
      <c r="I86" s="4"/>
      <c r="J86" s="24"/>
      <c r="K86" s="24"/>
      <c r="L86" s="52"/>
      <c r="M86" s="52"/>
      <c r="N86" s="4"/>
      <c r="O86" s="24"/>
      <c r="P86" s="24"/>
      <c r="Q86" s="52"/>
      <c r="R86" s="52"/>
      <c r="S86" s="51"/>
      <c r="W86" s="52"/>
      <c r="X86" s="72"/>
      <c r="Y86" s="72"/>
      <c r="Z86" s="52"/>
      <c r="AA86" s="52"/>
      <c r="AB86" s="52"/>
      <c r="AC86" s="51"/>
      <c r="AD86" s="52"/>
      <c r="AE86" s="73"/>
      <c r="AF86" s="73"/>
      <c r="AG86" s="52"/>
      <c r="AH86" s="52"/>
      <c r="AI86" s="52"/>
      <c r="AJ86" s="57"/>
      <c r="AK86" s="52"/>
      <c r="AL86" s="52"/>
      <c r="AM86" s="52"/>
      <c r="AN86" s="70"/>
      <c r="AO86" s="70"/>
    </row>
    <row r="87" spans="1:45" ht="15.3" x14ac:dyDescent="0.55000000000000004">
      <c r="A87" s="9"/>
      <c r="B87" s="24"/>
      <c r="C87" s="24"/>
      <c r="D87" s="4"/>
      <c r="E87" s="4"/>
      <c r="F87" s="4"/>
      <c r="G87" s="4"/>
      <c r="H87" s="4"/>
      <c r="I87" s="4"/>
      <c r="J87" s="24"/>
      <c r="K87" s="24"/>
      <c r="L87" s="52"/>
      <c r="M87" s="52"/>
      <c r="N87" s="4"/>
      <c r="O87" s="24"/>
      <c r="P87" s="24"/>
      <c r="Q87" s="52"/>
      <c r="R87" s="52"/>
      <c r="S87" s="51"/>
      <c r="W87" s="52"/>
      <c r="X87" s="72"/>
      <c r="Y87" s="72"/>
      <c r="Z87" s="52"/>
      <c r="AA87" s="52"/>
      <c r="AB87" s="52"/>
      <c r="AC87" s="51"/>
      <c r="AD87" s="52"/>
      <c r="AE87" s="73"/>
      <c r="AF87" s="73"/>
      <c r="AG87" s="52"/>
      <c r="AH87" s="52"/>
      <c r="AI87" s="52"/>
      <c r="AJ87" s="57"/>
      <c r="AK87" s="52"/>
      <c r="AL87" s="52"/>
      <c r="AM87" s="52"/>
      <c r="AN87" s="70"/>
      <c r="AO87" s="70"/>
    </row>
    <row r="88" spans="1:45" ht="18.3" x14ac:dyDescent="0.55000000000000004">
      <c r="A88" s="2"/>
      <c r="B88" s="143" t="s">
        <v>166</v>
      </c>
      <c r="C88" s="107"/>
      <c r="D88" s="108"/>
      <c r="H88" s="105"/>
      <c r="J88" s="2"/>
      <c r="K88" s="2"/>
      <c r="N88" s="2"/>
      <c r="O88" s="2"/>
      <c r="P88" s="2"/>
      <c r="Q88" s="2"/>
      <c r="S88" s="2"/>
      <c r="W88" s="55"/>
      <c r="X88" s="55"/>
      <c r="Y88" s="55"/>
      <c r="Z88" s="55"/>
      <c r="AA88" s="55"/>
      <c r="AB88" s="55"/>
      <c r="AC88" s="2"/>
      <c r="AD88" s="22"/>
      <c r="AE88" s="2"/>
      <c r="AF88" s="2"/>
      <c r="AG88" s="2"/>
      <c r="AH88" s="2"/>
      <c r="AI88" s="2"/>
      <c r="AJ88" s="21"/>
      <c r="AK88" s="2"/>
      <c r="AL88" s="2"/>
      <c r="AM88" s="2"/>
      <c r="AN88" s="70"/>
      <c r="AO88" s="70"/>
    </row>
    <row r="89" spans="1:45" outlineLevel="1" x14ac:dyDescent="0.55000000000000004">
      <c r="D89" s="2"/>
      <c r="E89" s="2"/>
      <c r="F89" s="2"/>
      <c r="G89" s="2"/>
      <c r="H89" s="2"/>
      <c r="I89" s="2"/>
      <c r="J89" s="2"/>
      <c r="K89" s="2"/>
      <c r="L89" s="2"/>
      <c r="M89" s="2"/>
      <c r="N89" s="2"/>
      <c r="O89" s="2"/>
      <c r="P89" s="2"/>
      <c r="Q89" s="2"/>
      <c r="R89" s="2"/>
      <c r="S89" s="2"/>
      <c r="W89" s="55"/>
      <c r="X89" s="55"/>
      <c r="Y89" s="55"/>
      <c r="Z89" s="55"/>
      <c r="AA89" s="113"/>
      <c r="AB89" s="114"/>
      <c r="AC89" s="2"/>
      <c r="AD89" s="2"/>
      <c r="AE89" s="2"/>
      <c r="AF89" s="2"/>
      <c r="AG89" s="2"/>
      <c r="AH89" s="2"/>
      <c r="AI89" s="2"/>
      <c r="AJ89" s="21"/>
      <c r="AK89" s="2"/>
      <c r="AL89" s="2"/>
      <c r="AM89" s="51"/>
      <c r="AN89" s="70"/>
      <c r="AO89" s="70"/>
    </row>
    <row r="90" spans="1:45" ht="19.899999999999999" customHeight="1" outlineLevel="1" x14ac:dyDescent="0.55000000000000004">
      <c r="B90" s="185" t="s">
        <v>67</v>
      </c>
      <c r="C90" s="185"/>
      <c r="D90" s="185"/>
      <c r="E90" s="2"/>
      <c r="F90" s="187" t="s">
        <v>127</v>
      </c>
      <c r="G90" s="187"/>
      <c r="H90" s="187"/>
      <c r="I90" s="2"/>
      <c r="J90" s="187" t="s">
        <v>69</v>
      </c>
      <c r="K90" s="187"/>
      <c r="L90" s="187"/>
      <c r="M90" s="187"/>
      <c r="N90" s="2"/>
      <c r="O90" s="187" t="s">
        <v>38</v>
      </c>
      <c r="P90" s="187"/>
      <c r="Q90" s="187"/>
      <c r="R90" s="187"/>
      <c r="S90" s="2"/>
      <c r="T90" s="190" t="s">
        <v>461</v>
      </c>
      <c r="U90" s="190"/>
      <c r="W90" s="188" t="s">
        <v>31</v>
      </c>
      <c r="X90" s="188"/>
      <c r="Y90" s="188"/>
      <c r="Z90" s="188"/>
      <c r="AA90" s="188"/>
      <c r="AB90" s="188"/>
      <c r="AC90" s="2"/>
      <c r="AD90" s="189" t="s">
        <v>32</v>
      </c>
      <c r="AE90" s="189"/>
      <c r="AF90" s="189"/>
      <c r="AG90" s="189"/>
      <c r="AH90" s="189"/>
      <c r="AI90" s="189"/>
      <c r="AJ90" s="21"/>
      <c r="AK90" s="189" t="s">
        <v>149</v>
      </c>
      <c r="AL90" s="189"/>
      <c r="AM90" s="51"/>
      <c r="AN90" s="188" t="s">
        <v>325</v>
      </c>
      <c r="AO90" s="188"/>
      <c r="AQ90" s="185" t="s">
        <v>143</v>
      </c>
      <c r="AR90" s="185"/>
      <c r="AS90" s="185"/>
    </row>
    <row r="91" spans="1:45" ht="30.6" customHeight="1" outlineLevel="1" x14ac:dyDescent="0.55000000000000004">
      <c r="B91" s="145" t="s">
        <v>145</v>
      </c>
      <c r="C91" s="145" t="s">
        <v>10</v>
      </c>
      <c r="D91" s="78" t="s">
        <v>124</v>
      </c>
      <c r="E91" s="13"/>
      <c r="F91" s="82" t="s">
        <v>127</v>
      </c>
      <c r="G91" s="82" t="s">
        <v>153</v>
      </c>
      <c r="H91" s="133" t="s">
        <v>2</v>
      </c>
      <c r="I91" s="2"/>
      <c r="J91" s="88" t="s">
        <v>125</v>
      </c>
      <c r="K91" s="88" t="s">
        <v>36</v>
      </c>
      <c r="L91" s="48" t="s">
        <v>129</v>
      </c>
      <c r="M91" s="133" t="s">
        <v>2</v>
      </c>
      <c r="N91" s="13"/>
      <c r="O91" s="91" t="s">
        <v>126</v>
      </c>
      <c r="P91" s="91" t="s">
        <v>36</v>
      </c>
      <c r="Q91" s="92" t="s">
        <v>130</v>
      </c>
      <c r="R91" s="133" t="s">
        <v>2</v>
      </c>
      <c r="S91" s="55"/>
      <c r="T91" s="91" t="s">
        <v>154</v>
      </c>
      <c r="U91" s="91" t="s">
        <v>36</v>
      </c>
      <c r="W91" s="53" t="s">
        <v>12</v>
      </c>
      <c r="X91" s="53" t="s">
        <v>34</v>
      </c>
      <c r="Y91" s="53" t="s">
        <v>35</v>
      </c>
      <c r="Z91" s="53" t="s">
        <v>41</v>
      </c>
      <c r="AA91" s="56" t="s">
        <v>119</v>
      </c>
      <c r="AB91" s="53" t="s">
        <v>1</v>
      </c>
      <c r="AC91" s="55"/>
      <c r="AD91" s="53" t="s">
        <v>12</v>
      </c>
      <c r="AE91" s="53" t="s">
        <v>34</v>
      </c>
      <c r="AF91" s="53" t="s">
        <v>35</v>
      </c>
      <c r="AG91" s="56" t="s">
        <v>41</v>
      </c>
      <c r="AH91" s="56" t="s">
        <v>119</v>
      </c>
      <c r="AI91" s="53" t="s">
        <v>1</v>
      </c>
      <c r="AJ91" s="57"/>
      <c r="AK91" s="58" t="s">
        <v>3</v>
      </c>
      <c r="AL91" s="58" t="s">
        <v>0</v>
      </c>
      <c r="AM91" s="51"/>
      <c r="AN91" s="76" t="s">
        <v>45</v>
      </c>
      <c r="AO91" s="76" t="s">
        <v>146</v>
      </c>
      <c r="AQ91" s="58" t="s">
        <v>3</v>
      </c>
      <c r="AR91" s="58" t="s">
        <v>0</v>
      </c>
      <c r="AS91" s="58" t="s">
        <v>12</v>
      </c>
    </row>
    <row r="92" spans="1:45" s="19" customFormat="1" outlineLevel="1" x14ac:dyDescent="0.55000000000000004">
      <c r="B92" s="15" t="s">
        <v>239</v>
      </c>
      <c r="C92" s="15" t="s">
        <v>240</v>
      </c>
      <c r="D92" s="16" t="s">
        <v>241</v>
      </c>
      <c r="E92" s="20"/>
      <c r="F92" s="83" t="s">
        <v>242</v>
      </c>
      <c r="G92" s="83" t="s">
        <v>243</v>
      </c>
      <c r="H92" s="18" t="s">
        <v>244</v>
      </c>
      <c r="I92" s="23"/>
      <c r="J92" s="18" t="s">
        <v>245</v>
      </c>
      <c r="K92" s="18" t="s">
        <v>246</v>
      </c>
      <c r="L92" s="18" t="s">
        <v>247</v>
      </c>
      <c r="M92" s="17" t="s">
        <v>248</v>
      </c>
      <c r="N92" s="20"/>
      <c r="O92" s="17" t="s">
        <v>249</v>
      </c>
      <c r="P92" s="17" t="s">
        <v>250</v>
      </c>
      <c r="Q92" s="17" t="s">
        <v>251</v>
      </c>
      <c r="R92" s="142" t="s">
        <v>252</v>
      </c>
      <c r="S92" s="61"/>
      <c r="T92" s="17" t="s">
        <v>253</v>
      </c>
      <c r="U92" s="17" t="s">
        <v>254</v>
      </c>
      <c r="W92" s="60" t="s">
        <v>255</v>
      </c>
      <c r="X92" s="60" t="s">
        <v>256</v>
      </c>
      <c r="Y92" s="60" t="s">
        <v>257</v>
      </c>
      <c r="Z92" s="60" t="s">
        <v>258</v>
      </c>
      <c r="AA92" s="60" t="s">
        <v>259</v>
      </c>
      <c r="AB92" s="60" t="s">
        <v>260</v>
      </c>
      <c r="AC92" s="61"/>
      <c r="AD92" s="60" t="s">
        <v>261</v>
      </c>
      <c r="AE92" s="60" t="s">
        <v>262</v>
      </c>
      <c r="AF92" s="60" t="s">
        <v>263</v>
      </c>
      <c r="AG92" s="60" t="s">
        <v>264</v>
      </c>
      <c r="AH92" s="60" t="s">
        <v>265</v>
      </c>
      <c r="AI92" s="60" t="s">
        <v>266</v>
      </c>
      <c r="AJ92" s="62"/>
      <c r="AK92" s="60" t="s">
        <v>267</v>
      </c>
      <c r="AL92" s="60" t="s">
        <v>268</v>
      </c>
      <c r="AN92" s="60" t="s">
        <v>293</v>
      </c>
      <c r="AO92" s="60" t="s">
        <v>294</v>
      </c>
      <c r="AQ92" s="60" t="s">
        <v>295</v>
      </c>
      <c r="AR92" s="60" t="s">
        <v>296</v>
      </c>
      <c r="AS92" s="60" t="s">
        <v>297</v>
      </c>
    </row>
    <row r="93" spans="1:45" outlineLevel="1" x14ac:dyDescent="0.55000000000000004">
      <c r="B93" s="1"/>
      <c r="C93" s="3">
        <v>0</v>
      </c>
      <c r="D93" s="87">
        <v>1</v>
      </c>
      <c r="E93" s="2"/>
      <c r="F93" s="84">
        <v>1</v>
      </c>
      <c r="G93" s="84"/>
      <c r="H93" s="5"/>
      <c r="I93" s="2"/>
      <c r="J93" s="2"/>
      <c r="K93" s="2"/>
      <c r="L93" s="55"/>
      <c r="M93" s="55"/>
      <c r="N93" s="2"/>
      <c r="O93" s="10"/>
      <c r="P93" s="10"/>
      <c r="Q93" s="49"/>
      <c r="R93" s="55"/>
      <c r="S93" s="55"/>
      <c r="T93" s="2"/>
      <c r="U93" s="2"/>
      <c r="W93" s="63">
        <f t="shared" ref="W93:W109" si="81">IFERROR(IF(C93&gt;=$F$7*4,0,-IF($F$22="pattern",U94*$F$21,IF(AND($F$22="single",C93=0),$F$21,IF(AND($F$22="annual",MOD(C93,4)=0),$F$21/$F$7,IF(AND($F$22="semi-ann",MOD(C93,2)=0),$F$21/(2*$F$7),IF($F$22="quarterly",$F$21/(4*$F$7),0)))))*F93),0)</f>
        <v>-1125000</v>
      </c>
      <c r="X93" s="63"/>
      <c r="Y93" s="63"/>
      <c r="Z93" s="63">
        <f>-$F$13*$F$21</f>
        <v>-900000</v>
      </c>
      <c r="AA93" s="63"/>
      <c r="AB93" s="64">
        <f>SUM(W93:AA93)</f>
        <v>-2025000</v>
      </c>
      <c r="AC93" s="55"/>
      <c r="AD93" s="64">
        <f t="shared" ref="AD93:AD109" si="82">W93*$D93</f>
        <v>-1125000</v>
      </c>
      <c r="AE93" s="64"/>
      <c r="AF93" s="64"/>
      <c r="AG93" s="64">
        <f t="shared" ref="AG93:AG109" si="83">Z93*$D93</f>
        <v>-900000</v>
      </c>
      <c r="AH93" s="64"/>
      <c r="AI93" s="64">
        <f>SUM(AD93:AH93)</f>
        <v>-2025000</v>
      </c>
      <c r="AJ93" s="57"/>
      <c r="AK93" s="51">
        <f ca="1">SUM(AD93:AD$109,AG93:AG$109)/D93+SUM(AE94:AF$110,AH94:AH$109)/D93</f>
        <v>-4972601.2781676752</v>
      </c>
      <c r="AL93" s="51">
        <f>SUM(AE94:$AF$110)*$G$14/D93</f>
        <v>86653.781730614137</v>
      </c>
      <c r="AM93" s="51"/>
      <c r="AN93" s="51">
        <f ca="1">-SUM(AD93:$AD$110,AH93:$AH$110)/D93</f>
        <v>6961060.6691881446</v>
      </c>
      <c r="AO93" s="51">
        <f ca="1">-SUM(W93:$W$110,AA93:$AA$110)</f>
        <v>7149373.1065043397</v>
      </c>
      <c r="AQ93" s="9">
        <f t="shared" ref="AQ93:AQ101" ca="1" si="84">AK93-AK66</f>
        <v>-16958.727449009195</v>
      </c>
      <c r="AR93" s="9">
        <f t="shared" ref="AR93:AR101" si="85">AL93-AL66</f>
        <v>634.02553615671059</v>
      </c>
      <c r="AS93" s="9">
        <f t="shared" ref="AS93:AS109" ca="1" si="86">IF($F$27="yes",AN93-AN66,AO93-AO66)</f>
        <v>0</v>
      </c>
    </row>
    <row r="94" spans="1:45" outlineLevel="1" x14ac:dyDescent="0.55000000000000004">
      <c r="A94" s="9"/>
      <c r="B94" s="1" t="s">
        <v>6</v>
      </c>
      <c r="C94" s="3">
        <v>1</v>
      </c>
      <c r="D94" s="87">
        <f>D93/(1+IF(C94&lt;$F$8,$F$17,$G$17))^(1/4)</f>
        <v>0.99506157747984325</v>
      </c>
      <c r="E94" s="4"/>
      <c r="F94" s="111">
        <f t="shared" ref="F94:F101" si="87">(1-IF(C94&lt;$F$8,$F$19,$G$19))^(C94/4)</f>
        <v>0.94574160900317583</v>
      </c>
      <c r="G94" s="84">
        <f>AVERAGE(F93:F94)</f>
        <v>0.97287080450158792</v>
      </c>
      <c r="H94" s="153">
        <f>F94*D94</f>
        <v>0.94107113734302528</v>
      </c>
      <c r="I94" s="4"/>
      <c r="J94" s="115">
        <f t="shared" ref="J94:J109" si="88">J67</f>
        <v>1</v>
      </c>
      <c r="K94" s="155">
        <f>J94/$J$85</f>
        <v>6.25E-2</v>
      </c>
      <c r="L94" s="154">
        <f>J94*G94</f>
        <v>0.97287080450158792</v>
      </c>
      <c r="M94" s="154">
        <f>L94*D94</f>
        <v>0.96806635741143421</v>
      </c>
      <c r="N94" s="4"/>
      <c r="O94" s="115">
        <f t="shared" ref="O94:O109" si="89">O67</f>
        <v>1</v>
      </c>
      <c r="P94" s="94">
        <f>O94/$O$85</f>
        <v>6.25E-2</v>
      </c>
      <c r="Q94" s="154">
        <f>O94*G94</f>
        <v>0.97287080450158792</v>
      </c>
      <c r="R94" s="154">
        <f>Q94*D94</f>
        <v>0.96806635741143421</v>
      </c>
      <c r="S94" s="51"/>
      <c r="T94" s="138">
        <f t="shared" ref="T94:T109" si="90">T67</f>
        <v>0.20282873599525819</v>
      </c>
      <c r="U94" s="135">
        <f>T94/$T$112</f>
        <v>0.20282873599525819</v>
      </c>
      <c r="W94" s="63">
        <f t="shared" si="81"/>
        <v>0</v>
      </c>
      <c r="X94" s="63">
        <f>$F$21*IF(C94&lt;$F$8,$F$11,$G$11)*P94*((1+$F$18)^(MIN($F$8-1,C94)/4))*((1+$G$18)^(MAX(0,C94-$F$8+1)/4))*F94</f>
        <v>319982.78747207677</v>
      </c>
      <c r="Y94" s="63">
        <f>-$F$21*IF(C94&lt;$F$8,$F$12,$G$12)*IF($F$28="risk",P94*F94,IF($F$28="policies IF",F94/($F$7*4),1/($F$7*4)))</f>
        <v>-79796.948259642959</v>
      </c>
      <c r="Z94" s="63">
        <v>0</v>
      </c>
      <c r="AA94" s="63">
        <f t="shared" ref="AA94:AA109" ca="1" si="91">IF($F$25="no",0,1)*(F94-F93)*OFFSET(W94,-IF($F$22="single",C94,IF($F$22="annual",MOD(C94,4),IF($F$22="semi-ann",MOD(C94,2),0))),0)*IF($F$22="single",($F$7*4-C94)/($F$7*4),IF(AND($F$22="annual",MOD(C94,4)&lt;&gt;0),(4-MOD(C94,4))/4,IF(AND($F$22="semi-ann",MOD(C94,2)&lt;&gt;0),0.5,0)))</f>
        <v>30520.344935713594</v>
      </c>
      <c r="AB94" s="64">
        <f t="shared" ref="AB94:AB101" ca="1" si="92">SUM(W94:AA94)</f>
        <v>270706.18414814741</v>
      </c>
      <c r="AC94" s="51"/>
      <c r="AD94" s="51">
        <f t="shared" si="82"/>
        <v>0</v>
      </c>
      <c r="AE94" s="64">
        <f t="shared" ref="AE94:AE109" si="93">X94*$D94</f>
        <v>318402.57726836216</v>
      </c>
      <c r="AF94" s="64">
        <f t="shared" ref="AF94:AF109" si="94">Y94*$D94</f>
        <v>-79402.877213317755</v>
      </c>
      <c r="AG94" s="51">
        <f t="shared" si="83"/>
        <v>0</v>
      </c>
      <c r="AH94" s="64">
        <f t="shared" ref="AH94:AH109" ca="1" si="95">AA94*$D94</f>
        <v>30369.622576960115</v>
      </c>
      <c r="AI94" s="64">
        <f t="shared" ref="AI94:AI109" ca="1" si="96">SUM(AD94:AH94)</f>
        <v>269369.32263200451</v>
      </c>
      <c r="AJ94" s="57"/>
      <c r="AK94" s="51">
        <f ca="1">SUM(AD94:AD$109,AG94:AG$109)/D94+SUM(AE95:AF$110,AH95:AH$109)/D94</f>
        <v>-3232936.2057644576</v>
      </c>
      <c r="AL94" s="51">
        <f>SUM(AE95:$AF$110)*$G$14/D94</f>
        <v>79878.26334352947</v>
      </c>
      <c r="AM94" s="51"/>
      <c r="AN94" s="51">
        <f ca="1">-SUM(AD94:$AD$110,AH94:$AH$110)/D94</f>
        <v>5865024.6389463916</v>
      </c>
      <c r="AO94" s="51">
        <f ca="1">-SUM(W94:$W$110,AA94:$AA$110)</f>
        <v>6024373.1065043388</v>
      </c>
      <c r="AQ94" s="9">
        <f t="shared" ca="1" si="84"/>
        <v>-17042.892452909146</v>
      </c>
      <c r="AR94" s="9">
        <f t="shared" si="85"/>
        <v>637.1721615082788</v>
      </c>
      <c r="AS94" s="9">
        <f t="shared" ca="1" si="86"/>
        <v>0</v>
      </c>
    </row>
    <row r="95" spans="1:45" outlineLevel="1" x14ac:dyDescent="0.55000000000000004">
      <c r="A95" s="9"/>
      <c r="B95" s="1" t="s">
        <v>7</v>
      </c>
      <c r="C95" s="3">
        <v>2</v>
      </c>
      <c r="D95" s="87">
        <f t="shared" ref="D95:D109" si="97">D94/(1+IF(C95&lt;$F$8,$F$17,$G$17))^(1/4)</f>
        <v>0.99014754297667418</v>
      </c>
      <c r="E95" s="4"/>
      <c r="F95" s="111">
        <f t="shared" si="87"/>
        <v>0.89442719099991586</v>
      </c>
      <c r="G95" s="84">
        <f t="shared" ref="G95:G101" si="98">AVERAGE(F94:F95)</f>
        <v>0.92008440000154579</v>
      </c>
      <c r="H95" s="153">
        <f t="shared" ref="H95:H101" si="99">F95*D95</f>
        <v>0.88561488554009515</v>
      </c>
      <c r="I95" s="4"/>
      <c r="J95" s="115">
        <f t="shared" si="88"/>
        <v>1</v>
      </c>
      <c r="K95" s="155">
        <f t="shared" ref="K95:K101" si="100">J95/$J$85</f>
        <v>6.25E-2</v>
      </c>
      <c r="L95" s="154">
        <f t="shared" ref="L95:L101" si="101">J95*G95</f>
        <v>0.92008440000154579</v>
      </c>
      <c r="M95" s="154">
        <f t="shared" ref="M95:M101" si="102">L95*D95</f>
        <v>0.91101930799269804</v>
      </c>
      <c r="N95" s="4"/>
      <c r="O95" s="115">
        <f t="shared" si="89"/>
        <v>1</v>
      </c>
      <c r="P95" s="94">
        <f t="shared" ref="P95:P101" si="103">O95/$O$85</f>
        <v>6.25E-2</v>
      </c>
      <c r="Q95" s="154">
        <f t="shared" ref="Q95:Q101" si="104">O95*G95</f>
        <v>0.92008440000154579</v>
      </c>
      <c r="R95" s="154">
        <f t="shared" ref="R95:R101" si="105">Q95*D95</f>
        <v>0.91101930799269804</v>
      </c>
      <c r="S95" s="51"/>
      <c r="T95" s="138">
        <f t="shared" si="90"/>
        <v>0.17818906429460918</v>
      </c>
      <c r="U95" s="135">
        <f t="shared" ref="U95:U109" si="106">T95/$T$112</f>
        <v>0.17818906429460918</v>
      </c>
      <c r="W95" s="63">
        <f t="shared" si="81"/>
        <v>-1006230.5898749053</v>
      </c>
      <c r="X95" s="63">
        <f t="shared" ref="X95:X109" si="107">$F$21*IF(C95&lt;$F$8,$F$11,$G$11)*P95*((1+$F$18)^(MIN($F$8-1,C95)/4))*((1+$G$18)^(MAX(0,C95-$F$8+1)/4))*F95</f>
        <v>303374.76823229709</v>
      </c>
      <c r="Y95" s="63">
        <f t="shared" ref="Y95:Y109" si="108">-$F$21*IF(C95&lt;$F$8,$F$12,$G$12)*IF($F$28="risk",P95*F95,IF($F$28="policies IF",F95/($F$7*4),1/($F$7*4)))</f>
        <v>-75467.294240617906</v>
      </c>
      <c r="Z95" s="63">
        <v>0</v>
      </c>
      <c r="AA95" s="63">
        <f t="shared" ca="1" si="91"/>
        <v>0</v>
      </c>
      <c r="AB95" s="64">
        <f t="shared" ca="1" si="92"/>
        <v>-778323.11588322604</v>
      </c>
      <c r="AC95" s="51"/>
      <c r="AD95" s="51">
        <f t="shared" si="82"/>
        <v>-996316.74623260705</v>
      </c>
      <c r="AE95" s="64">
        <f t="shared" si="93"/>
        <v>300385.78136632696</v>
      </c>
      <c r="AF95" s="64">
        <f t="shared" si="94"/>
        <v>-74723.755967445541</v>
      </c>
      <c r="AG95" s="51">
        <f t="shared" si="83"/>
        <v>0</v>
      </c>
      <c r="AH95" s="64">
        <f t="shared" ca="1" si="95"/>
        <v>0</v>
      </c>
      <c r="AI95" s="64">
        <f t="shared" ca="1" si="96"/>
        <v>-770654.72083372565</v>
      </c>
      <c r="AJ95" s="57"/>
      <c r="AK95" s="51">
        <f ca="1">SUM(AD95:AD$109,AG95:AG$109)/D95+SUM(AE96:AF$110,AH96:AH$109)/D95</f>
        <v>-3476888.5209258772</v>
      </c>
      <c r="AL95" s="51">
        <f>SUM(AE96:$AF$110)*$G$14/D95</f>
        <v>73437.469478939427</v>
      </c>
      <c r="AM95" s="51"/>
      <c r="AN95" s="51">
        <f ca="1">-SUM(AD95:$AD$110,AH95:$AH$110)/D95</f>
        <v>5924804.1702238573</v>
      </c>
      <c r="AO95" s="51">
        <f ca="1">-SUM(W95:$W$110,AA95:$AA$110)</f>
        <v>6054893.4514400521</v>
      </c>
      <c r="AQ95" s="9">
        <f t="shared" ca="1" si="84"/>
        <v>-17127.475161960814</v>
      </c>
      <c r="AR95" s="9">
        <f t="shared" si="85"/>
        <v>640.33440334623447</v>
      </c>
      <c r="AS95" s="9">
        <f t="shared" ca="1" si="86"/>
        <v>0</v>
      </c>
    </row>
    <row r="96" spans="1:45" outlineLevel="1" x14ac:dyDescent="0.55000000000000004">
      <c r="A96" s="9"/>
      <c r="B96" s="1" t="s">
        <v>8</v>
      </c>
      <c r="C96" s="3">
        <v>3</v>
      </c>
      <c r="D96" s="87">
        <f t="shared" si="97"/>
        <v>0.98525777605216036</v>
      </c>
      <c r="E96" s="4"/>
      <c r="F96" s="111">
        <f t="shared" si="87"/>
        <v>0.84589701075245127</v>
      </c>
      <c r="G96" s="84">
        <f t="shared" si="98"/>
        <v>0.87016210087618351</v>
      </c>
      <c r="H96" s="153">
        <f t="shared" si="99"/>
        <v>0.83342660758313047</v>
      </c>
      <c r="I96" s="4"/>
      <c r="J96" s="115">
        <f t="shared" si="88"/>
        <v>1</v>
      </c>
      <c r="K96" s="155">
        <f t="shared" si="100"/>
        <v>6.25E-2</v>
      </c>
      <c r="L96" s="154">
        <f t="shared" si="101"/>
        <v>0.87016210087618351</v>
      </c>
      <c r="M96" s="154">
        <f t="shared" si="102"/>
        <v>0.85733397631414421</v>
      </c>
      <c r="N96" s="4"/>
      <c r="O96" s="115">
        <f t="shared" si="89"/>
        <v>1</v>
      </c>
      <c r="P96" s="94">
        <f t="shared" si="103"/>
        <v>6.25E-2</v>
      </c>
      <c r="Q96" s="154">
        <f t="shared" si="104"/>
        <v>0.87016210087618351</v>
      </c>
      <c r="R96" s="154">
        <f t="shared" si="105"/>
        <v>0.85733397631414421</v>
      </c>
      <c r="S96" s="51"/>
      <c r="T96" s="138">
        <f t="shared" si="90"/>
        <v>0.20194032380116383</v>
      </c>
      <c r="U96" s="135">
        <f t="shared" si="106"/>
        <v>0.20194032380116383</v>
      </c>
      <c r="W96" s="63">
        <f t="shared" si="81"/>
        <v>0</v>
      </c>
      <c r="X96" s="63">
        <f t="shared" si="107"/>
        <v>287628.75255604647</v>
      </c>
      <c r="Y96" s="63">
        <f t="shared" si="108"/>
        <v>-71372.560282238075</v>
      </c>
      <c r="Z96" s="63">
        <v>0</v>
      </c>
      <c r="AA96" s="63">
        <f t="shared" ca="1" si="91"/>
        <v>24416.275948570881</v>
      </c>
      <c r="AB96" s="64">
        <f t="shared" ca="1" si="92"/>
        <v>240672.46822237928</v>
      </c>
      <c r="AC96" s="51"/>
      <c r="AD96" s="51">
        <f t="shared" si="82"/>
        <v>0</v>
      </c>
      <c r="AE96" s="64">
        <f t="shared" si="93"/>
        <v>283388.46507202747</v>
      </c>
      <c r="AF96" s="64">
        <f t="shared" si="94"/>
        <v>-70320.370014826636</v>
      </c>
      <c r="AG96" s="51">
        <f t="shared" si="83"/>
        <v>0</v>
      </c>
      <c r="AH96" s="64">
        <f t="shared" ca="1" si="95"/>
        <v>24056.3257405648</v>
      </c>
      <c r="AI96" s="64">
        <f t="shared" ca="1" si="96"/>
        <v>237124.4207977656</v>
      </c>
      <c r="AJ96" s="57"/>
      <c r="AK96" s="51">
        <f ca="1">SUM(AD96:AD$109,AG96:AG$109)/D96+SUM(AE97:AF$110,AH97:AH$109)/D96</f>
        <v>-2723592.1055259509</v>
      </c>
      <c r="AL96" s="51">
        <f>SUM(AE97:$AF$110)*$G$14/D96</f>
        <v>67314.248846658375</v>
      </c>
      <c r="AM96" s="51"/>
      <c r="AN96" s="51">
        <f ca="1">-SUM(AD96:$AD$110,AH96:$AH$110)/D96</f>
        <v>4942984.1244659908</v>
      </c>
      <c r="AO96" s="51">
        <f ca="1">-SUM(W96:$W$110,AA96:$AA$110)</f>
        <v>5048662.8615651466</v>
      </c>
      <c r="AQ96" s="9">
        <f t="shared" ca="1" si="84"/>
        <v>-17212.477649212349</v>
      </c>
      <c r="AR96" s="9">
        <f t="shared" si="85"/>
        <v>643.51233917397622</v>
      </c>
      <c r="AS96" s="9">
        <f t="shared" ca="1" si="86"/>
        <v>0</v>
      </c>
    </row>
    <row r="97" spans="1:45" outlineLevel="1" x14ac:dyDescent="0.55000000000000004">
      <c r="A97" s="9"/>
      <c r="B97" s="1" t="s">
        <v>9</v>
      </c>
      <c r="C97" s="3">
        <v>4</v>
      </c>
      <c r="D97" s="87">
        <f t="shared" si="97"/>
        <v>0.98039215686274483</v>
      </c>
      <c r="E97" s="4"/>
      <c r="F97" s="111">
        <f t="shared" si="87"/>
        <v>0.8</v>
      </c>
      <c r="G97" s="84">
        <f t="shared" si="98"/>
        <v>0.82294850537622566</v>
      </c>
      <c r="H97" s="153">
        <f t="shared" si="99"/>
        <v>0.78431372549019596</v>
      </c>
      <c r="I97" s="4"/>
      <c r="J97" s="115">
        <f t="shared" si="88"/>
        <v>1</v>
      </c>
      <c r="K97" s="155">
        <f t="shared" si="100"/>
        <v>6.25E-2</v>
      </c>
      <c r="L97" s="154">
        <f t="shared" si="101"/>
        <v>0.82294850537622566</v>
      </c>
      <c r="M97" s="154">
        <f t="shared" si="102"/>
        <v>0.80681226017277008</v>
      </c>
      <c r="N97" s="4"/>
      <c r="O97" s="115">
        <f t="shared" si="89"/>
        <v>1</v>
      </c>
      <c r="P97" s="94">
        <f t="shared" si="103"/>
        <v>6.25E-2</v>
      </c>
      <c r="Q97" s="154">
        <f t="shared" si="104"/>
        <v>0.82294850537622566</v>
      </c>
      <c r="R97" s="154">
        <f t="shared" si="105"/>
        <v>0.80681226017277008</v>
      </c>
      <c r="S97" s="51"/>
      <c r="T97" s="138">
        <f t="shared" si="90"/>
        <v>0.20709640104961757</v>
      </c>
      <c r="U97" s="135">
        <f t="shared" si="106"/>
        <v>0.20709640104961757</v>
      </c>
      <c r="W97" s="63">
        <f t="shared" si="81"/>
        <v>-900000</v>
      </c>
      <c r="X97" s="63">
        <f t="shared" si="107"/>
        <v>272700</v>
      </c>
      <c r="Y97" s="63">
        <f t="shared" si="108"/>
        <v>-67500</v>
      </c>
      <c r="Z97" s="63">
        <v>0</v>
      </c>
      <c r="AA97" s="63">
        <f t="shared" ca="1" si="91"/>
        <v>0</v>
      </c>
      <c r="AB97" s="64">
        <f t="shared" ca="1" si="92"/>
        <v>-694800</v>
      </c>
      <c r="AC97" s="51"/>
      <c r="AD97" s="51">
        <f t="shared" si="82"/>
        <v>-882352.94117647037</v>
      </c>
      <c r="AE97" s="64">
        <f t="shared" si="93"/>
        <v>267352.94117647054</v>
      </c>
      <c r="AF97" s="64">
        <f t="shared" si="94"/>
        <v>-66176.470588235272</v>
      </c>
      <c r="AG97" s="51">
        <f t="shared" si="83"/>
        <v>0</v>
      </c>
      <c r="AH97" s="64">
        <f t="shared" ca="1" si="95"/>
        <v>0</v>
      </c>
      <c r="AI97" s="64">
        <f t="shared" ca="1" si="96"/>
        <v>-681176.47058823507</v>
      </c>
      <c r="AJ97" s="57"/>
      <c r="AK97" s="51">
        <f ca="1">SUM(AD97:AD$109,AG97:AG$109)/D97+SUM(AE98:AF$110,AH98:AH$109)/D97</f>
        <v>-2942309.1067789933</v>
      </c>
      <c r="AL97" s="51">
        <f>SUM(AE98:$AF$110)*$G$14/D97</f>
        <v>61492.324857585969</v>
      </c>
      <c r="AM97" s="51"/>
      <c r="AN97" s="51">
        <f ca="1">-SUM(AD97:$AD$110,AH97:$AH$110)/D97</f>
        <v>4992053.2686985247</v>
      </c>
      <c r="AO97" s="51">
        <f ca="1">-SUM(W97:$W$110,AA97:$AA$110)</f>
        <v>5073079.1375137176</v>
      </c>
      <c r="AQ97" s="9">
        <f t="shared" ca="1" si="84"/>
        <v>-17297.901997989975</v>
      </c>
      <c r="AR97" s="9">
        <f t="shared" si="85"/>
        <v>646.70604687982268</v>
      </c>
      <c r="AS97" s="9">
        <f t="shared" ca="1" si="86"/>
        <v>0</v>
      </c>
    </row>
    <row r="98" spans="1:45" outlineLevel="1" x14ac:dyDescent="0.55000000000000004">
      <c r="A98" s="9"/>
      <c r="B98" s="1" t="s">
        <v>15</v>
      </c>
      <c r="C98" s="3">
        <v>5</v>
      </c>
      <c r="D98" s="87">
        <f t="shared" si="97"/>
        <v>0.97555056615670888</v>
      </c>
      <c r="E98" s="4"/>
      <c r="F98" s="111">
        <f t="shared" si="87"/>
        <v>0.75659328720254071</v>
      </c>
      <c r="G98" s="84">
        <f t="shared" si="98"/>
        <v>0.77829664360127038</v>
      </c>
      <c r="H98" s="153">
        <f t="shared" si="99"/>
        <v>0.73809500968080399</v>
      </c>
      <c r="I98" s="4"/>
      <c r="J98" s="115">
        <f t="shared" si="88"/>
        <v>1</v>
      </c>
      <c r="K98" s="155">
        <f t="shared" si="100"/>
        <v>6.25E-2</v>
      </c>
      <c r="L98" s="154">
        <f t="shared" si="101"/>
        <v>0.77829664360127038</v>
      </c>
      <c r="M98" s="154">
        <f t="shared" si="102"/>
        <v>0.75926773130308556</v>
      </c>
      <c r="N98" s="4"/>
      <c r="O98" s="115">
        <f t="shared" si="89"/>
        <v>1</v>
      </c>
      <c r="P98" s="94">
        <f t="shared" si="103"/>
        <v>6.25E-2</v>
      </c>
      <c r="Q98" s="154">
        <f t="shared" si="104"/>
        <v>0.77829664360127038</v>
      </c>
      <c r="R98" s="154">
        <f t="shared" si="105"/>
        <v>0.75926773130308556</v>
      </c>
      <c r="S98" s="51"/>
      <c r="T98" s="138">
        <f t="shared" si="90"/>
        <v>8.3175297485096111E-2</v>
      </c>
      <c r="U98" s="135">
        <f t="shared" si="106"/>
        <v>8.3175297485096111E-2</v>
      </c>
      <c r="W98" s="63">
        <f t="shared" si="81"/>
        <v>0</v>
      </c>
      <c r="X98" s="63">
        <f t="shared" si="107"/>
        <v>258546.09227743812</v>
      </c>
      <c r="Y98" s="63">
        <f t="shared" si="108"/>
        <v>-63837.558607714374</v>
      </c>
      <c r="Z98" s="63">
        <v>0</v>
      </c>
      <c r="AA98" s="63">
        <f t="shared" ca="1" si="91"/>
        <v>19533.020758856699</v>
      </c>
      <c r="AB98" s="64">
        <f t="shared" ca="1" si="92"/>
        <v>214241.55442858045</v>
      </c>
      <c r="AC98" s="51"/>
      <c r="AD98" s="51">
        <f t="shared" si="82"/>
        <v>0</v>
      </c>
      <c r="AE98" s="64">
        <f t="shared" si="93"/>
        <v>252224.78669885945</v>
      </c>
      <c r="AF98" s="64">
        <f t="shared" si="94"/>
        <v>-62276.766441817839</v>
      </c>
      <c r="AG98" s="51">
        <f t="shared" si="83"/>
        <v>0</v>
      </c>
      <c r="AH98" s="64">
        <f t="shared" ca="1" si="95"/>
        <v>19055.449460053402</v>
      </c>
      <c r="AI98" s="64">
        <f t="shared" ca="1" si="96"/>
        <v>209003.46971709502</v>
      </c>
      <c r="AJ98" s="57"/>
      <c r="AK98" s="51">
        <f ca="1">SUM(AD98:AD$109,AG98:AG$109)/D98+SUM(AE99:AF$110,AH99:AH$109)/D98</f>
        <v>-2266686.5015558479</v>
      </c>
      <c r="AL98" s="51">
        <f>SUM(AE99:$AF$110)*$G$14/D98</f>
        <v>55956.251048039674</v>
      </c>
      <c r="AM98" s="51"/>
      <c r="AN98" s="51">
        <f ca="1">-SUM(AD98:$AD$110,AH98:$AH$110)/D98</f>
        <v>4112361.8490649816</v>
      </c>
      <c r="AO98" s="51">
        <f ca="1">-SUM(W98:$W$110,AA98:$AA$110)</f>
        <v>4173079.1375137186</v>
      </c>
      <c r="AQ98" s="9">
        <f t="shared" ca="1" si="84"/>
        <v>-17383.750301964581</v>
      </c>
      <c r="AR98" s="9">
        <f t="shared" si="85"/>
        <v>649.91560473846766</v>
      </c>
      <c r="AS98" s="9">
        <f t="shared" ca="1" si="86"/>
        <v>0</v>
      </c>
    </row>
    <row r="99" spans="1:45" outlineLevel="1" x14ac:dyDescent="0.55000000000000004">
      <c r="A99" s="9"/>
      <c r="B99" s="1" t="s">
        <v>16</v>
      </c>
      <c r="C99" s="3">
        <v>6</v>
      </c>
      <c r="D99" s="87">
        <f t="shared" si="97"/>
        <v>0.9707328852712489</v>
      </c>
      <c r="E99" s="4"/>
      <c r="F99" s="111">
        <f t="shared" si="87"/>
        <v>0.71554175279993271</v>
      </c>
      <c r="G99" s="84">
        <f t="shared" si="98"/>
        <v>0.73606752000123676</v>
      </c>
      <c r="H99" s="153">
        <f t="shared" si="99"/>
        <v>0.69459991022752543</v>
      </c>
      <c r="I99" s="4"/>
      <c r="J99" s="115">
        <f t="shared" si="88"/>
        <v>1</v>
      </c>
      <c r="K99" s="155">
        <f t="shared" si="100"/>
        <v>6.25E-2</v>
      </c>
      <c r="L99" s="154">
        <f t="shared" si="101"/>
        <v>0.73606752000123676</v>
      </c>
      <c r="M99" s="154">
        <f t="shared" si="102"/>
        <v>0.7145249474452533</v>
      </c>
      <c r="N99" s="4"/>
      <c r="O99" s="115">
        <f t="shared" si="89"/>
        <v>1</v>
      </c>
      <c r="P99" s="94">
        <f t="shared" si="103"/>
        <v>6.25E-2</v>
      </c>
      <c r="Q99" s="154">
        <f t="shared" si="104"/>
        <v>0.73606752000123676</v>
      </c>
      <c r="R99" s="154">
        <f t="shared" si="105"/>
        <v>0.7145249474452533</v>
      </c>
      <c r="S99" s="51"/>
      <c r="T99" s="138">
        <f t="shared" si="90"/>
        <v>5.1890782453176132E-2</v>
      </c>
      <c r="U99" s="135">
        <f t="shared" si="106"/>
        <v>5.1890782453176132E-2</v>
      </c>
      <c r="W99" s="63">
        <f t="shared" si="81"/>
        <v>-804984.47189992433</v>
      </c>
      <c r="X99" s="63">
        <f t="shared" si="107"/>
        <v>245126.81273169606</v>
      </c>
      <c r="Y99" s="63">
        <f t="shared" si="108"/>
        <v>-60373.835392494322</v>
      </c>
      <c r="Z99" s="63">
        <v>0</v>
      </c>
      <c r="AA99" s="63">
        <f t="shared" ca="1" si="91"/>
        <v>0</v>
      </c>
      <c r="AB99" s="64">
        <f t="shared" ca="1" si="92"/>
        <v>-620231.49456072261</v>
      </c>
      <c r="AC99" s="51"/>
      <c r="AD99" s="51">
        <f t="shared" si="82"/>
        <v>-781424.89900596614</v>
      </c>
      <c r="AE99" s="64">
        <f t="shared" si="93"/>
        <v>237952.65818038443</v>
      </c>
      <c r="AF99" s="64">
        <f t="shared" si="94"/>
        <v>-58606.867425447461</v>
      </c>
      <c r="AG99" s="51">
        <f t="shared" si="83"/>
        <v>0</v>
      </c>
      <c r="AH99" s="64">
        <f t="shared" ca="1" si="95"/>
        <v>0</v>
      </c>
      <c r="AI99" s="64">
        <f t="shared" ca="1" si="96"/>
        <v>-602079.10825102916</v>
      </c>
      <c r="AJ99" s="57"/>
      <c r="AK99" s="51">
        <f ca="1">SUM(AD99:AD$109,AG99:AG$109)/D99+SUM(AE100:AF$110,AH100:AH$109)/D99</f>
        <v>-2462688.8889001766</v>
      </c>
      <c r="AL99" s="51">
        <f>SUM(AE100:$AF$110)*$G$14/D99</f>
        <v>50691.368772908048</v>
      </c>
      <c r="AM99" s="51"/>
      <c r="AN99" s="51">
        <f ca="1">-SUM(AD99:$AD$110,AH99:$AH$110)/D99</f>
        <v>4152401.1813304457</v>
      </c>
      <c r="AO99" s="51">
        <f ca="1">-SUM(W99:$W$110,AA99:$AA$110)</f>
        <v>4192612.1582725751</v>
      </c>
      <c r="AQ99" s="9">
        <f t="shared" ca="1" si="84"/>
        <v>-17470.02466519922</v>
      </c>
      <c r="AR99" s="9">
        <f t="shared" si="85"/>
        <v>653.14109141313384</v>
      </c>
      <c r="AS99" s="9">
        <f t="shared" ca="1" si="86"/>
        <v>0</v>
      </c>
    </row>
    <row r="100" spans="1:45" outlineLevel="1" x14ac:dyDescent="0.55000000000000004">
      <c r="A100" s="9"/>
      <c r="B100" s="1" t="s">
        <v>17</v>
      </c>
      <c r="C100" s="3">
        <v>7</v>
      </c>
      <c r="D100" s="87">
        <f t="shared" si="97"/>
        <v>0.96832110791813664</v>
      </c>
      <c r="E100" s="4"/>
      <c r="F100" s="111">
        <f t="shared" si="87"/>
        <v>0.83161897782507621</v>
      </c>
      <c r="G100" s="84">
        <f t="shared" si="98"/>
        <v>0.7735803653125044</v>
      </c>
      <c r="H100" s="153">
        <f t="shared" si="99"/>
        <v>0.8052742099733261</v>
      </c>
      <c r="I100" s="4"/>
      <c r="J100" s="115">
        <f t="shared" si="88"/>
        <v>1</v>
      </c>
      <c r="K100" s="155">
        <f t="shared" si="100"/>
        <v>6.25E-2</v>
      </c>
      <c r="L100" s="154">
        <f t="shared" si="101"/>
        <v>0.7735803653125044</v>
      </c>
      <c r="M100" s="154">
        <f t="shared" si="102"/>
        <v>0.74907419640312112</v>
      </c>
      <c r="N100" s="4"/>
      <c r="O100" s="115">
        <f t="shared" si="89"/>
        <v>1</v>
      </c>
      <c r="P100" s="94">
        <f t="shared" si="103"/>
        <v>6.25E-2</v>
      </c>
      <c r="Q100" s="154">
        <f t="shared" si="104"/>
        <v>0.7735803653125044</v>
      </c>
      <c r="R100" s="154">
        <f t="shared" si="105"/>
        <v>0.74907419640312112</v>
      </c>
      <c r="S100" s="51"/>
      <c r="T100" s="138">
        <f t="shared" si="90"/>
        <v>2.7830892374108518E-2</v>
      </c>
      <c r="U100" s="135">
        <f t="shared" si="106"/>
        <v>2.7830892374108518E-2</v>
      </c>
      <c r="W100" s="63">
        <f t="shared" si="81"/>
        <v>0</v>
      </c>
      <c r="X100" s="63">
        <f t="shared" si="107"/>
        <v>237706.1941644758</v>
      </c>
      <c r="Y100" s="63">
        <f t="shared" si="108"/>
        <v>-46778.567502660539</v>
      </c>
      <c r="Z100" s="63">
        <v>0</v>
      </c>
      <c r="AA100" s="63">
        <f t="shared" ca="1" si="91"/>
        <v>-46720.181843236911</v>
      </c>
      <c r="AB100" s="64">
        <f t="shared" ca="1" si="92"/>
        <v>144207.44481857837</v>
      </c>
      <c r="AC100" s="51"/>
      <c r="AD100" s="51">
        <f t="shared" si="82"/>
        <v>0</v>
      </c>
      <c r="AE100" s="64">
        <f t="shared" si="93"/>
        <v>230175.92529234893</v>
      </c>
      <c r="AF100" s="64">
        <f t="shared" si="94"/>
        <v>-45296.674310999595</v>
      </c>
      <c r="AG100" s="51">
        <f t="shared" si="83"/>
        <v>0</v>
      </c>
      <c r="AH100" s="64">
        <f t="shared" ca="1" si="95"/>
        <v>-45240.138244579975</v>
      </c>
      <c r="AI100" s="64">
        <f t="shared" ca="1" si="96"/>
        <v>139639.11273676934</v>
      </c>
      <c r="AJ100" s="57"/>
      <c r="AK100" s="51">
        <f ca="1">SUM(AD100:AD$109,AG100:AG$109)/D100+SUM(AE101:AF$110,AH101:AH$109)/D100</f>
        <v>-1806040.6719195128</v>
      </c>
      <c r="AL100" s="51">
        <f>SUM(AE101:$AF$110)*$G$14/D100</f>
        <v>45089.795916670904</v>
      </c>
      <c r="AM100" s="51"/>
      <c r="AN100" s="51">
        <f ca="1">-SUM(AD100:$AD$110,AH100:$AH$110)/D100</f>
        <v>3355754.0509851137</v>
      </c>
      <c r="AO100" s="51">
        <f ca="1">-SUM(W100:$W$110,AA100:$AA$110)</f>
        <v>3387627.6863726517</v>
      </c>
      <c r="AQ100" s="9">
        <f t="shared" ca="1" si="84"/>
        <v>-13458.463712706929</v>
      </c>
      <c r="AR100" s="9">
        <f t="shared" si="85"/>
        <v>531.06073500280763</v>
      </c>
      <c r="AS100" s="9">
        <f t="shared" ca="1" si="86"/>
        <v>0</v>
      </c>
    </row>
    <row r="101" spans="1:45" outlineLevel="1" x14ac:dyDescent="0.55000000000000004">
      <c r="A101" s="9"/>
      <c r="B101" s="1" t="s">
        <v>18</v>
      </c>
      <c r="C101" s="3">
        <v>8</v>
      </c>
      <c r="D101" s="87">
        <f t="shared" si="97"/>
        <v>0.96591532260473922</v>
      </c>
      <c r="E101" s="4"/>
      <c r="F101" s="111">
        <f t="shared" si="87"/>
        <v>0.81</v>
      </c>
      <c r="G101" s="84">
        <f t="shared" si="98"/>
        <v>0.82080948891253813</v>
      </c>
      <c r="H101" s="153">
        <f t="shared" si="99"/>
        <v>0.7823914113098388</v>
      </c>
      <c r="I101" s="4"/>
      <c r="J101" s="115">
        <f t="shared" si="88"/>
        <v>1</v>
      </c>
      <c r="K101" s="155">
        <f t="shared" si="100"/>
        <v>6.25E-2</v>
      </c>
      <c r="L101" s="154">
        <f t="shared" si="101"/>
        <v>0.82080948891253813</v>
      </c>
      <c r="M101" s="154">
        <f t="shared" si="102"/>
        <v>0.79283246227998538</v>
      </c>
      <c r="N101" s="4"/>
      <c r="O101" s="115">
        <f t="shared" si="89"/>
        <v>1</v>
      </c>
      <c r="P101" s="94">
        <f t="shared" si="103"/>
        <v>6.25E-2</v>
      </c>
      <c r="Q101" s="154">
        <f t="shared" si="104"/>
        <v>0.82080948891253813</v>
      </c>
      <c r="R101" s="154">
        <f t="shared" si="105"/>
        <v>0.79283246227998538</v>
      </c>
      <c r="S101" s="51"/>
      <c r="T101" s="138">
        <f t="shared" si="90"/>
        <v>1.5225286106495761E-2</v>
      </c>
      <c r="U101" s="135">
        <f t="shared" si="106"/>
        <v>1.5225286106495761E-2</v>
      </c>
      <c r="W101" s="63">
        <f t="shared" si="81"/>
        <v>-911250.00000000012</v>
      </c>
      <c r="X101" s="63">
        <f t="shared" si="107"/>
        <v>231815.59100580279</v>
      </c>
      <c r="Y101" s="63">
        <f t="shared" si="108"/>
        <v>-45562.5</v>
      </c>
      <c r="Z101" s="63">
        <v>0</v>
      </c>
      <c r="AA101" s="63">
        <f t="shared" ca="1" si="91"/>
        <v>0</v>
      </c>
      <c r="AB101" s="64">
        <f t="shared" ca="1" si="92"/>
        <v>-724996.90899419738</v>
      </c>
      <c r="AC101" s="51"/>
      <c r="AD101" s="51">
        <f t="shared" si="82"/>
        <v>-880190.33772356878</v>
      </c>
      <c r="AE101" s="64">
        <f t="shared" si="93"/>
        <v>223914.23137117829</v>
      </c>
      <c r="AF101" s="64">
        <f t="shared" si="94"/>
        <v>-44009.516886178433</v>
      </c>
      <c r="AG101" s="51">
        <f t="shared" si="83"/>
        <v>0</v>
      </c>
      <c r="AH101" s="64">
        <f t="shared" ca="1" si="95"/>
        <v>0</v>
      </c>
      <c r="AI101" s="64">
        <f t="shared" ref="AI101:AI105" ca="1" si="109">SUM(AD101:AH101)</f>
        <v>-700285.62323856889</v>
      </c>
      <c r="AJ101" s="57"/>
      <c r="AK101" s="51">
        <f ca="1">SUM(AD101:AD$109,AG101:AG$109)/D101+SUM(AE102:AF$110,AH102:AH$109)/D101</f>
        <v>-1996792.0310676883</v>
      </c>
      <c r="AL101" s="51">
        <f>SUM(AE102:$AF$110)*$G$14/D101</f>
        <v>39614.50740847343</v>
      </c>
      <c r="AM101" s="51"/>
      <c r="AN101" s="51">
        <f ca="1">-SUM(AD101:$AD$110,AH101:$AH$110)/D101</f>
        <v>3317275.6113501363</v>
      </c>
      <c r="AO101" s="51">
        <f ca="1">-SUM(W101:$W$110,AA101:$AA$110)</f>
        <v>3340907.5045294147</v>
      </c>
      <c r="AQ101" s="9">
        <f t="shared" ca="1" si="84"/>
        <v>-9060.2690164069645</v>
      </c>
      <c r="AR101" s="9">
        <f t="shared" si="85"/>
        <v>422.22300328428537</v>
      </c>
      <c r="AS101" s="9">
        <f t="shared" ca="1" si="86"/>
        <v>0</v>
      </c>
    </row>
    <row r="102" spans="1:45" outlineLevel="1" x14ac:dyDescent="0.55000000000000004">
      <c r="A102" s="9"/>
      <c r="B102" s="1" t="s">
        <v>19</v>
      </c>
      <c r="C102" s="3">
        <v>9</v>
      </c>
      <c r="D102" s="87">
        <f t="shared" si="97"/>
        <v>0.96351551444388639</v>
      </c>
      <c r="E102" s="4"/>
      <c r="F102" s="111">
        <f t="shared" ref="F102:F109" si="110">(1-IF(C102&lt;$F$8,$F$19,$G$19))^(C102/4)</f>
        <v>0.78894303460449045</v>
      </c>
      <c r="G102" s="84">
        <f t="shared" ref="G102:G109" si="111">AVERAGE(F101:F102)</f>
        <v>0.7994715173022453</v>
      </c>
      <c r="H102" s="153">
        <f t="shared" ref="H102:H109" si="112">F102*D102</f>
        <v>0.7601588538538665</v>
      </c>
      <c r="I102" s="4"/>
      <c r="J102" s="115">
        <f t="shared" si="88"/>
        <v>1</v>
      </c>
      <c r="K102" s="155">
        <f t="shared" ref="K102:K109" si="113">J102/$J$85</f>
        <v>6.25E-2</v>
      </c>
      <c r="L102" s="154">
        <f t="shared" ref="L102:L109" si="114">J102*G102</f>
        <v>0.7994715173022453</v>
      </c>
      <c r="M102" s="154">
        <f t="shared" ref="M102:M109" si="115">L102*D102</f>
        <v>0.77030321027670734</v>
      </c>
      <c r="N102" s="4"/>
      <c r="O102" s="115">
        <f t="shared" si="89"/>
        <v>1</v>
      </c>
      <c r="P102" s="94">
        <f t="shared" ref="P102:P109" si="116">O102/$O$85</f>
        <v>6.25E-2</v>
      </c>
      <c r="Q102" s="154">
        <f t="shared" ref="Q102:Q109" si="117">O102*G102</f>
        <v>0.7994715173022453</v>
      </c>
      <c r="R102" s="154">
        <f t="shared" ref="R102:R109" si="118">Q102*D102</f>
        <v>0.77030321027670734</v>
      </c>
      <c r="S102" s="51"/>
      <c r="T102" s="138">
        <f t="shared" si="90"/>
        <v>1.3868361840445591E-2</v>
      </c>
      <c r="U102" s="135">
        <f t="shared" si="106"/>
        <v>1.3868361840445591E-2</v>
      </c>
      <c r="W102" s="63">
        <f t="shared" si="81"/>
        <v>0</v>
      </c>
      <c r="X102" s="63">
        <f t="shared" si="107"/>
        <v>226070.96303172651</v>
      </c>
      <c r="Y102" s="63">
        <f t="shared" si="108"/>
        <v>-44378.045696502588</v>
      </c>
      <c r="Z102" s="63">
        <v>0</v>
      </c>
      <c r="AA102" s="63">
        <f t="shared" ca="1" si="91"/>
        <v>9594.0798583290671</v>
      </c>
      <c r="AB102" s="64">
        <f t="shared" ref="AB102:AB109" ca="1" si="119">SUM(W102:AA102)</f>
        <v>191286.99719355299</v>
      </c>
      <c r="AC102" s="51"/>
      <c r="AD102" s="51">
        <f t="shared" si="82"/>
        <v>0</v>
      </c>
      <c r="AE102" s="64">
        <f t="shared" si="93"/>
        <v>217822.88024633878</v>
      </c>
      <c r="AF102" s="64">
        <f t="shared" si="94"/>
        <v>-42758.935529279988</v>
      </c>
      <c r="AG102" s="51">
        <f t="shared" si="83"/>
        <v>0</v>
      </c>
      <c r="AH102" s="64">
        <f t="shared" ca="1" si="95"/>
        <v>9244.0447903136592</v>
      </c>
      <c r="AI102" s="64">
        <f t="shared" ca="1" si="109"/>
        <v>184307.98950737246</v>
      </c>
      <c r="AJ102" s="57"/>
      <c r="AK102" s="51">
        <f ca="1">SUM(AD102:AD$109,AG102:AG$109)/D102+SUM(AE103:AF$110,AH103:AH$109)/D102</f>
        <v>-1279532.7653428474</v>
      </c>
      <c r="AL102" s="51">
        <f>SUM(AE103:$AF$110)*$G$14/D102</f>
        <v>34262.386922566016</v>
      </c>
      <c r="AM102" s="51"/>
      <c r="AN102" s="51">
        <f ca="1">-SUM(AD102:$AD$110,AH102:$AH$110)/D102</f>
        <v>2412018.2495700526</v>
      </c>
      <c r="AO102" s="51">
        <f ca="1">-SUM(W102:$W$110,AA102:$AA$110)</f>
        <v>2429657.5045294147</v>
      </c>
      <c r="AQ102" s="9">
        <f t="shared" ref="AQ102:AR102" ca="1" si="120">AK102-AK75</f>
        <v>-6421.5007731507067</v>
      </c>
      <c r="AR102" s="9">
        <f t="shared" si="120"/>
        <v>326.38141173309123</v>
      </c>
      <c r="AS102" s="9">
        <f t="shared" ca="1" si="86"/>
        <v>0</v>
      </c>
    </row>
    <row r="103" spans="1:45" outlineLevel="1" x14ac:dyDescent="0.55000000000000004">
      <c r="A103" s="9"/>
      <c r="B103" s="1" t="s">
        <v>20</v>
      </c>
      <c r="C103" s="3">
        <v>10</v>
      </c>
      <c r="D103" s="87">
        <f t="shared" si="97"/>
        <v>0.96112166858539494</v>
      </c>
      <c r="E103" s="4"/>
      <c r="F103" s="111">
        <f t="shared" si="110"/>
        <v>0.76843347142091623</v>
      </c>
      <c r="G103" s="84">
        <f t="shared" si="111"/>
        <v>0.77868825301270328</v>
      </c>
      <c r="H103" s="153">
        <f t="shared" si="112"/>
        <v>0.73855806024893844</v>
      </c>
      <c r="I103" s="4"/>
      <c r="J103" s="115">
        <f t="shared" si="88"/>
        <v>1</v>
      </c>
      <c r="K103" s="155">
        <f t="shared" si="113"/>
        <v>6.25E-2</v>
      </c>
      <c r="L103" s="154">
        <f t="shared" si="114"/>
        <v>0.77868825301270328</v>
      </c>
      <c r="M103" s="154">
        <f t="shared" si="115"/>
        <v>0.74841415304341552</v>
      </c>
      <c r="N103" s="4"/>
      <c r="O103" s="115">
        <f t="shared" si="89"/>
        <v>1</v>
      </c>
      <c r="P103" s="94">
        <f t="shared" si="116"/>
        <v>6.25E-2</v>
      </c>
      <c r="Q103" s="154">
        <f t="shared" si="117"/>
        <v>0.77868825301270328</v>
      </c>
      <c r="R103" s="154">
        <f t="shared" si="118"/>
        <v>0.74841415304341552</v>
      </c>
      <c r="S103" s="51"/>
      <c r="T103" s="138">
        <f t="shared" si="90"/>
        <v>5.0809898881113407E-3</v>
      </c>
      <c r="U103" s="135">
        <f t="shared" si="106"/>
        <v>5.0809898881113407E-3</v>
      </c>
      <c r="W103" s="63">
        <f t="shared" si="81"/>
        <v>-864487.65534853074</v>
      </c>
      <c r="X103" s="63">
        <f t="shared" si="107"/>
        <v>220468.69282753687</v>
      </c>
      <c r="Y103" s="63">
        <f t="shared" si="108"/>
        <v>-43224.382767426541</v>
      </c>
      <c r="Z103" s="63">
        <v>0</v>
      </c>
      <c r="AA103" s="63">
        <f t="shared" ca="1" si="91"/>
        <v>0</v>
      </c>
      <c r="AB103" s="64">
        <f t="shared" ca="1" si="119"/>
        <v>-687243.34528842045</v>
      </c>
      <c r="AC103" s="51"/>
      <c r="AD103" s="51">
        <f t="shared" si="82"/>
        <v>-830877.81778005569</v>
      </c>
      <c r="AE103" s="64">
        <f t="shared" si="93"/>
        <v>211897.23792124313</v>
      </c>
      <c r="AF103" s="64">
        <f t="shared" si="94"/>
        <v>-41543.890889002789</v>
      </c>
      <c r="AG103" s="51">
        <f t="shared" si="83"/>
        <v>0</v>
      </c>
      <c r="AH103" s="64">
        <f t="shared" ca="1" si="95"/>
        <v>0</v>
      </c>
      <c r="AI103" s="64">
        <f t="shared" ca="1" si="109"/>
        <v>-660524.47074781533</v>
      </c>
      <c r="AJ103" s="57"/>
      <c r="AK103" s="51">
        <f ca="1">SUM(AD103:AD$109,AG103:AG$109)/D103+SUM(AE104:AF$110,AH104:AH$109)/D103</f>
        <v>-1459963.9811935932</v>
      </c>
      <c r="AL103" s="51">
        <f>SUM(AE104:$AF$110)*$G$14/D103</f>
        <v>29030.394239130015</v>
      </c>
      <c r="AM103" s="51"/>
      <c r="AN103" s="51">
        <f ca="1">-SUM(AD103:$AD$110,AH103:$AH$110)/D103</f>
        <v>2427643.7891645939</v>
      </c>
      <c r="AO103" s="51">
        <f ca="1">-SUM(W103:$W$110,AA103:$AA$110)</f>
        <v>2439251.5843877438</v>
      </c>
      <c r="AQ103" s="9">
        <f t="shared" ref="AQ103:AR103" ca="1" si="121">AK103-AK76</f>
        <v>-3290.042472651694</v>
      </c>
      <c r="AR103" s="9">
        <f t="shared" si="121"/>
        <v>243.29595688226254</v>
      </c>
      <c r="AS103" s="9">
        <f t="shared" ca="1" si="86"/>
        <v>0</v>
      </c>
    </row>
    <row r="104" spans="1:45" outlineLevel="1" x14ac:dyDescent="0.55000000000000004">
      <c r="A104" s="9"/>
      <c r="B104" s="1" t="s">
        <v>21</v>
      </c>
      <c r="C104" s="3">
        <v>11</v>
      </c>
      <c r="D104" s="87">
        <f t="shared" si="97"/>
        <v>0.95873377021597694</v>
      </c>
      <c r="E104" s="4"/>
      <c r="F104" s="111">
        <f t="shared" si="110"/>
        <v>0.74845708004256861</v>
      </c>
      <c r="G104" s="84">
        <f t="shared" si="111"/>
        <v>0.75844527573174236</v>
      </c>
      <c r="H104" s="153">
        <f t="shared" si="112"/>
        <v>0.71757107819405308</v>
      </c>
      <c r="I104" s="4"/>
      <c r="J104" s="115">
        <f t="shared" si="88"/>
        <v>1</v>
      </c>
      <c r="K104" s="155">
        <f t="shared" si="113"/>
        <v>6.25E-2</v>
      </c>
      <c r="L104" s="154">
        <f t="shared" si="114"/>
        <v>0.75844527573174236</v>
      </c>
      <c r="M104" s="154">
        <f t="shared" si="115"/>
        <v>0.72714709870478955</v>
      </c>
      <c r="N104" s="4"/>
      <c r="O104" s="115">
        <f t="shared" si="89"/>
        <v>1</v>
      </c>
      <c r="P104" s="94">
        <f t="shared" si="116"/>
        <v>6.25E-2</v>
      </c>
      <c r="Q104" s="154">
        <f t="shared" si="117"/>
        <v>0.75844527573174236</v>
      </c>
      <c r="R104" s="154">
        <f t="shared" si="118"/>
        <v>0.72714709870478955</v>
      </c>
      <c r="S104" s="51"/>
      <c r="T104" s="138">
        <f t="shared" si="90"/>
        <v>6.0769058883075608E-3</v>
      </c>
      <c r="U104" s="135">
        <f t="shared" si="106"/>
        <v>6.0769058883075608E-3</v>
      </c>
      <c r="W104" s="63">
        <f t="shared" si="81"/>
        <v>0</v>
      </c>
      <c r="X104" s="63">
        <f t="shared" si="107"/>
        <v>215005.25262176839</v>
      </c>
      <c r="Y104" s="63">
        <f t="shared" si="108"/>
        <v>-42100.710752394487</v>
      </c>
      <c r="Z104" s="63">
        <v>0</v>
      </c>
      <c r="AA104" s="63">
        <f t="shared" ca="1" si="91"/>
        <v>8634.6718724961665</v>
      </c>
      <c r="AB104" s="64">
        <f t="shared" ca="1" si="119"/>
        <v>181539.21374187007</v>
      </c>
      <c r="AC104" s="51"/>
      <c r="AD104" s="51">
        <f t="shared" si="82"/>
        <v>0</v>
      </c>
      <c r="AE104" s="64">
        <f t="shared" si="93"/>
        <v>206132.79646230658</v>
      </c>
      <c r="AF104" s="64">
        <f t="shared" si="94"/>
        <v>-40363.373148415485</v>
      </c>
      <c r="AG104" s="51">
        <f t="shared" si="83"/>
        <v>0</v>
      </c>
      <c r="AH104" s="64">
        <f t="shared" ca="1" si="95"/>
        <v>8278.3515188960992</v>
      </c>
      <c r="AI104" s="64">
        <f t="shared" ca="1" si="109"/>
        <v>174047.7748327872</v>
      </c>
      <c r="AJ104" s="57"/>
      <c r="AK104" s="51">
        <f ca="1">SUM(AD104:AD$109,AG104:AG$109)/D104+SUM(AE105:AF$110,AH105:AH$109)/D104</f>
        <v>-778498.68015388271</v>
      </c>
      <c r="AL104" s="51">
        <f>SUM(AE105:$AF$110)*$G$14/D104</f>
        <v>23915.563385466779</v>
      </c>
      <c r="AM104" s="51"/>
      <c r="AN104" s="51">
        <f ca="1">-SUM(AD104:$AD$110,AH104:$AH$110)/D104</f>
        <v>1567049.4544636125</v>
      </c>
      <c r="AO104" s="51">
        <f ca="1">-SUM(W104:$W$110,AA104:$AA$110)</f>
        <v>1574763.9290392133</v>
      </c>
      <c r="AQ104" s="9">
        <f t="shared" ref="AQ104:AR104" ca="1" si="122">AK104-AK77</f>
        <v>-1834.2030366348336</v>
      </c>
      <c r="AR104" s="9">
        <f t="shared" si="122"/>
        <v>172.73296033436054</v>
      </c>
      <c r="AS104" s="9">
        <f t="shared" ca="1" si="86"/>
        <v>0</v>
      </c>
    </row>
    <row r="105" spans="1:45" outlineLevel="1" x14ac:dyDescent="0.55000000000000004">
      <c r="A105" s="9"/>
      <c r="B105" s="1" t="s">
        <v>22</v>
      </c>
      <c r="C105" s="3">
        <v>12</v>
      </c>
      <c r="D105" s="87">
        <f t="shared" si="97"/>
        <v>0.95635180455914781</v>
      </c>
      <c r="E105" s="4"/>
      <c r="F105" s="111">
        <f t="shared" si="110"/>
        <v>0.72900000000000009</v>
      </c>
      <c r="G105" s="84">
        <f t="shared" si="111"/>
        <v>0.73872854002128441</v>
      </c>
      <c r="H105" s="153">
        <f t="shared" si="112"/>
        <v>0.6971804655236189</v>
      </c>
      <c r="I105" s="4"/>
      <c r="J105" s="115">
        <f t="shared" si="88"/>
        <v>1</v>
      </c>
      <c r="K105" s="155">
        <f t="shared" si="113"/>
        <v>6.25E-2</v>
      </c>
      <c r="L105" s="154">
        <f t="shared" si="114"/>
        <v>0.73872854002128441</v>
      </c>
      <c r="M105" s="154">
        <f t="shared" si="115"/>
        <v>0.70648437232869998</v>
      </c>
      <c r="N105" s="4"/>
      <c r="O105" s="115">
        <f t="shared" si="89"/>
        <v>1</v>
      </c>
      <c r="P105" s="94">
        <f t="shared" si="116"/>
        <v>6.25E-2</v>
      </c>
      <c r="Q105" s="154">
        <f t="shared" si="117"/>
        <v>0.73872854002128441</v>
      </c>
      <c r="R105" s="154">
        <f t="shared" si="118"/>
        <v>0.70648437232869998</v>
      </c>
      <c r="S105" s="51"/>
      <c r="T105" s="138">
        <f t="shared" si="90"/>
        <v>6.7969588236102014E-3</v>
      </c>
      <c r="U105" s="135">
        <f t="shared" si="106"/>
        <v>6.7969588236102014E-3</v>
      </c>
      <c r="W105" s="63">
        <f t="shared" si="81"/>
        <v>-820125.00000000012</v>
      </c>
      <c r="X105" s="63">
        <f t="shared" si="107"/>
        <v>209677.20206474859</v>
      </c>
      <c r="Y105" s="63">
        <f t="shared" si="108"/>
        <v>-41006.250000000007</v>
      </c>
      <c r="Z105" s="63">
        <v>0</v>
      </c>
      <c r="AA105" s="63">
        <f t="shared" ca="1" si="91"/>
        <v>0</v>
      </c>
      <c r="AB105" s="64">
        <f t="shared" ca="1" si="119"/>
        <v>-651454.0479352515</v>
      </c>
      <c r="AC105" s="51"/>
      <c r="AD105" s="51">
        <f t="shared" si="82"/>
        <v>-784328.02371407126</v>
      </c>
      <c r="AE105" s="64">
        <f t="shared" si="93"/>
        <v>200525.1705695354</v>
      </c>
      <c r="AF105" s="64">
        <f t="shared" si="94"/>
        <v>-39216.401185703558</v>
      </c>
      <c r="AG105" s="51">
        <f t="shared" si="83"/>
        <v>0</v>
      </c>
      <c r="AH105" s="64">
        <f t="shared" ca="1" si="95"/>
        <v>0</v>
      </c>
      <c r="AI105" s="64">
        <f t="shared" ca="1" si="109"/>
        <v>-623019.25433023938</v>
      </c>
      <c r="AJ105" s="57"/>
      <c r="AK105" s="51">
        <f ca="1">SUM(AD105:AD$109,AG105:AG$109)/D105+SUM(AE106:AF$110,AH106:AH$109)/D105</f>
        <v>-949108.6227775166</v>
      </c>
      <c r="AL105" s="51">
        <f>SUM(AE106:$AF$110)*$G$14/D105</f>
        <v>18915.000822538841</v>
      </c>
      <c r="AM105" s="51"/>
      <c r="AN105" s="51">
        <f ca="1">-SUM(AD105:$AD$110,AH105:$AH$110)/D105</f>
        <v>1579608.6501954782</v>
      </c>
      <c r="AO105" s="51">
        <f ca="1">-SUM(W105:$W$110,AA105:$AA$110)</f>
        <v>1583398.6009117095</v>
      </c>
      <c r="AQ105" s="9">
        <f t="shared" ref="AQ105:AR105" ca="1" si="123">AK105-AK78</f>
        <v>81.339059750665911</v>
      </c>
      <c r="AR105" s="9">
        <f t="shared" si="123"/>
        <v>114.46491659476305</v>
      </c>
      <c r="AS105" s="9">
        <f t="shared" ca="1" si="86"/>
        <v>0</v>
      </c>
    </row>
    <row r="106" spans="1:45" outlineLevel="1" x14ac:dyDescent="0.55000000000000004">
      <c r="A106" s="9"/>
      <c r="B106" s="1" t="s">
        <v>23</v>
      </c>
      <c r="C106" s="3">
        <v>13</v>
      </c>
      <c r="D106" s="87">
        <f t="shared" si="97"/>
        <v>0.95397575687513503</v>
      </c>
      <c r="E106" s="4"/>
      <c r="F106" s="111">
        <f t="shared" si="110"/>
        <v>0.71004873114404132</v>
      </c>
      <c r="G106" s="84">
        <f t="shared" si="111"/>
        <v>0.71952436557202071</v>
      </c>
      <c r="H106" s="153">
        <f t="shared" si="112"/>
        <v>0.67736927571136607</v>
      </c>
      <c r="I106" s="4"/>
      <c r="J106" s="115">
        <f t="shared" si="88"/>
        <v>1</v>
      </c>
      <c r="K106" s="155">
        <f t="shared" si="113"/>
        <v>6.25E-2</v>
      </c>
      <c r="L106" s="154">
        <f t="shared" si="114"/>
        <v>0.71952436557202071</v>
      </c>
      <c r="M106" s="154">
        <f t="shared" si="115"/>
        <v>0.68640880123666981</v>
      </c>
      <c r="N106" s="4"/>
      <c r="O106" s="115">
        <f t="shared" si="89"/>
        <v>1</v>
      </c>
      <c r="P106" s="94">
        <f t="shared" si="116"/>
        <v>6.25E-2</v>
      </c>
      <c r="Q106" s="154">
        <f t="shared" si="117"/>
        <v>0.71952436557202071</v>
      </c>
      <c r="R106" s="154">
        <f t="shared" si="118"/>
        <v>0.68640880123666981</v>
      </c>
      <c r="S106" s="51"/>
      <c r="T106" s="138">
        <f t="shared" si="90"/>
        <v>0</v>
      </c>
      <c r="U106" s="135">
        <f t="shared" si="106"/>
        <v>0</v>
      </c>
      <c r="W106" s="63">
        <f t="shared" si="81"/>
        <v>0</v>
      </c>
      <c r="X106" s="63">
        <f t="shared" si="107"/>
        <v>204481.18606219659</v>
      </c>
      <c r="Y106" s="63">
        <f t="shared" si="108"/>
        <v>-39940.241126852321</v>
      </c>
      <c r="Z106" s="63">
        <v>0</v>
      </c>
      <c r="AA106" s="63">
        <f t="shared" ca="1" si="91"/>
        <v>7771.2046852465937</v>
      </c>
      <c r="AB106" s="64">
        <f t="shared" ca="1" si="119"/>
        <v>172312.14962059088</v>
      </c>
      <c r="AC106" s="51"/>
      <c r="AD106" s="51">
        <f t="shared" si="82"/>
        <v>0</v>
      </c>
      <c r="AE106" s="64">
        <f t="shared" si="93"/>
        <v>195070.09424040929</v>
      </c>
      <c r="AF106" s="64">
        <f t="shared" si="94"/>
        <v>-38102.021758764342</v>
      </c>
      <c r="AG106" s="51">
        <f t="shared" si="83"/>
        <v>0</v>
      </c>
      <c r="AH106" s="64">
        <f t="shared" ca="1" si="95"/>
        <v>7413.5408714397145</v>
      </c>
      <c r="AI106" s="64">
        <f t="shared" ca="1" si="96"/>
        <v>164381.61335308466</v>
      </c>
      <c r="AJ106" s="57"/>
      <c r="AK106" s="51">
        <f ca="1">SUM(AD106:AD$109,AG106:AG$109)/D106+SUM(AE107:AF$110,AH107:AH$109)/D106</f>
        <v>-301617.02923924563</v>
      </c>
      <c r="AL106" s="51">
        <f>SUM(AE107:$AF$110)*$G$14/D106</f>
        <v>14025.883675757577</v>
      </c>
      <c r="AM106" s="51"/>
      <c r="AN106" s="51">
        <f ca="1">-SUM(AD106:$AD$110,AH106:$AH$110)/D106</f>
        <v>761375.28041258501</v>
      </c>
      <c r="AO106" s="51">
        <f ca="1">-SUM(W106:$W$110,AA106:$AA$110)</f>
        <v>763273.60091170913</v>
      </c>
      <c r="AQ106" s="9">
        <f t="shared" ref="AQ106:AR106" ca="1" si="124">AK106-AK79</f>
        <v>400.62279270909494</v>
      </c>
      <c r="AR106" s="9">
        <f t="shared" si="124"/>
        <v>68.270344633066998</v>
      </c>
      <c r="AS106" s="9">
        <f t="shared" ca="1" si="86"/>
        <v>0</v>
      </c>
    </row>
    <row r="107" spans="1:45" outlineLevel="1" x14ac:dyDescent="0.55000000000000004">
      <c r="A107" s="9"/>
      <c r="B107" s="1" t="s">
        <v>24</v>
      </c>
      <c r="C107" s="3">
        <v>14</v>
      </c>
      <c r="D107" s="87">
        <f t="shared" si="97"/>
        <v>0.95160561246078712</v>
      </c>
      <c r="E107" s="4"/>
      <c r="F107" s="111">
        <f t="shared" si="110"/>
        <v>0.6915901242788246</v>
      </c>
      <c r="G107" s="84">
        <f t="shared" si="111"/>
        <v>0.70081942771143302</v>
      </c>
      <c r="H107" s="153">
        <f t="shared" si="112"/>
        <v>0.65812104378618275</v>
      </c>
      <c r="I107" s="4"/>
      <c r="J107" s="115">
        <f t="shared" si="88"/>
        <v>1</v>
      </c>
      <c r="K107" s="155">
        <f t="shared" si="113"/>
        <v>6.25E-2</v>
      </c>
      <c r="L107" s="154">
        <f t="shared" si="114"/>
        <v>0.70081942771143302</v>
      </c>
      <c r="M107" s="154">
        <f t="shared" si="115"/>
        <v>0.66690370073175653</v>
      </c>
      <c r="N107" s="4"/>
      <c r="O107" s="115">
        <f t="shared" si="89"/>
        <v>1</v>
      </c>
      <c r="P107" s="94">
        <f t="shared" si="116"/>
        <v>6.25E-2</v>
      </c>
      <c r="Q107" s="154">
        <f t="shared" si="117"/>
        <v>0.70081942771143302</v>
      </c>
      <c r="R107" s="154">
        <f t="shared" si="118"/>
        <v>0.66690370073175653</v>
      </c>
      <c r="S107" s="51"/>
      <c r="T107" s="138">
        <f t="shared" si="90"/>
        <v>0</v>
      </c>
      <c r="U107" s="135">
        <f t="shared" si="106"/>
        <v>0</v>
      </c>
      <c r="W107" s="63">
        <f t="shared" si="81"/>
        <v>-778038.88981367764</v>
      </c>
      <c r="X107" s="63">
        <f t="shared" si="107"/>
        <v>199413.93266250708</v>
      </c>
      <c r="Y107" s="63">
        <f t="shared" si="108"/>
        <v>-38901.944490683883</v>
      </c>
      <c r="Z107" s="63">
        <v>0</v>
      </c>
      <c r="AA107" s="63">
        <f t="shared" ca="1" si="91"/>
        <v>0</v>
      </c>
      <c r="AB107" s="64">
        <f t="shared" ca="1" si="119"/>
        <v>-617526.90164185443</v>
      </c>
      <c r="AC107" s="51"/>
      <c r="AD107" s="51">
        <f t="shared" si="82"/>
        <v>-740386.17425945553</v>
      </c>
      <c r="AE107" s="64">
        <f t="shared" si="93"/>
        <v>189763.4175245192</v>
      </c>
      <c r="AF107" s="64">
        <f t="shared" si="94"/>
        <v>-37019.308712972779</v>
      </c>
      <c r="AG107" s="51">
        <f t="shared" si="83"/>
        <v>0</v>
      </c>
      <c r="AH107" s="64">
        <f t="shared" ca="1" si="95"/>
        <v>0</v>
      </c>
      <c r="AI107" s="64">
        <f t="shared" ca="1" si="96"/>
        <v>-587642.06544790906</v>
      </c>
      <c r="AJ107" s="57"/>
      <c r="AK107" s="51">
        <f ca="1">SUM(AD107:AD$109,AG107:AG$109)/D107+SUM(AE108:AF$110,AH108:AH$109)/D107</f>
        <v>-462880.24870664201</v>
      </c>
      <c r="AL107" s="51">
        <f>SUM(AE108:$AF$110)*$G$14/D107</f>
        <v>9245.4580089391675</v>
      </c>
      <c r="AM107" s="51"/>
      <c r="AN107" s="51">
        <f ca="1">-SUM(AD107:$AD$110,AH107:$AH$110)/D107</f>
        <v>771062.18233794754</v>
      </c>
      <c r="AO107" s="51">
        <f ca="1">-SUM(W107:$W$110,AA107:$AA$110)</f>
        <v>771044.8055969557</v>
      </c>
      <c r="AQ107" s="9">
        <f t="shared" ref="AQ107:AR107" ca="1" si="125">AK107-AK80</f>
        <v>1148.2844380701426</v>
      </c>
      <c r="AR107" s="9">
        <f t="shared" si="125"/>
        <v>33.933643081743867</v>
      </c>
      <c r="AS107" s="9">
        <f t="shared" ca="1" si="86"/>
        <v>0</v>
      </c>
    </row>
    <row r="108" spans="1:45" outlineLevel="1" x14ac:dyDescent="0.55000000000000004">
      <c r="A108" s="9"/>
      <c r="B108" s="1" t="s">
        <v>25</v>
      </c>
      <c r="C108" s="3">
        <v>15</v>
      </c>
      <c r="D108" s="87">
        <f t="shared" si="97"/>
        <v>0.94924135664948217</v>
      </c>
      <c r="E108" s="4"/>
      <c r="F108" s="111">
        <f t="shared" si="110"/>
        <v>0.67361137203831178</v>
      </c>
      <c r="G108" s="84">
        <f t="shared" si="111"/>
        <v>0.68260074815856819</v>
      </c>
      <c r="H108" s="153">
        <f t="shared" si="112"/>
        <v>0.63941977264816618</v>
      </c>
      <c r="I108" s="4"/>
      <c r="J108" s="115">
        <f t="shared" si="88"/>
        <v>1</v>
      </c>
      <c r="K108" s="155">
        <f t="shared" si="113"/>
        <v>6.25E-2</v>
      </c>
      <c r="L108" s="154">
        <f t="shared" si="114"/>
        <v>0.68260074815856819</v>
      </c>
      <c r="M108" s="154">
        <f t="shared" si="115"/>
        <v>0.64795286023199083</v>
      </c>
      <c r="N108" s="4"/>
      <c r="O108" s="115">
        <f t="shared" si="89"/>
        <v>1</v>
      </c>
      <c r="P108" s="94">
        <f t="shared" si="116"/>
        <v>6.25E-2</v>
      </c>
      <c r="Q108" s="154">
        <f t="shared" si="117"/>
        <v>0.68260074815856819</v>
      </c>
      <c r="R108" s="154">
        <f t="shared" si="118"/>
        <v>0.64795286023199083</v>
      </c>
      <c r="S108" s="51"/>
      <c r="T108" s="138">
        <f t="shared" si="90"/>
        <v>0</v>
      </c>
      <c r="U108" s="135">
        <f t="shared" si="106"/>
        <v>0</v>
      </c>
      <c r="W108" s="63">
        <f t="shared" si="81"/>
        <v>0</v>
      </c>
      <c r="X108" s="63">
        <f t="shared" si="107"/>
        <v>194472.25099638948</v>
      </c>
      <c r="Y108" s="63">
        <f t="shared" si="108"/>
        <v>-37890.639677155035</v>
      </c>
      <c r="Z108" s="63">
        <v>0</v>
      </c>
      <c r="AA108" s="63">
        <f t="shared" ca="1" si="91"/>
        <v>6994.0842167218816</v>
      </c>
      <c r="AB108" s="64">
        <f t="shared" ca="1" si="119"/>
        <v>163575.69553595633</v>
      </c>
      <c r="AC108" s="51"/>
      <c r="AD108" s="51">
        <f t="shared" si="82"/>
        <v>0</v>
      </c>
      <c r="AE108" s="64">
        <f t="shared" si="93"/>
        <v>184601.10336649136</v>
      </c>
      <c r="AF108" s="64">
        <f t="shared" si="94"/>
        <v>-35967.362211459345</v>
      </c>
      <c r="AG108" s="51">
        <f t="shared" si="83"/>
        <v>0</v>
      </c>
      <c r="AH108" s="64">
        <f t="shared" ca="1" si="95"/>
        <v>6639.0739904018101</v>
      </c>
      <c r="AI108" s="64">
        <f t="shared" ca="1" si="96"/>
        <v>155272.81514543382</v>
      </c>
      <c r="AJ108" s="57"/>
      <c r="AK108" s="51">
        <f ca="1">SUM(AD108:AD$109,AG108:AG$109)/D108+SUM(AE109:AF$110,AH109:AH$109)/D108</f>
        <v>152367.90467921412</v>
      </c>
      <c r="AL108" s="51">
        <f>SUM(AE109:$AF$110)*$G$14/D108</f>
        <v>4571.0371403764229</v>
      </c>
      <c r="AM108" s="51"/>
      <c r="AN108" s="51">
        <f ca="1">-SUM(AD108:$AD$110,AH108:$AH$110)/D108</f>
        <v>-6994.0842167218816</v>
      </c>
      <c r="AO108" s="51">
        <f ca="1">-SUM(W108:$W$110,AA108:$AA$110)</f>
        <v>-6994.0842167218816</v>
      </c>
      <c r="AQ108" s="9">
        <f t="shared" ref="AQ108:AR108" ca="1" si="126">AK108-AK81</f>
        <v>374.8316327794455</v>
      </c>
      <c r="AR108" s="9">
        <f t="shared" si="126"/>
        <v>11.244948983383438</v>
      </c>
      <c r="AS108" s="9">
        <f t="shared" ca="1" si="86"/>
        <v>0</v>
      </c>
    </row>
    <row r="109" spans="1:45" outlineLevel="1" x14ac:dyDescent="0.55000000000000004">
      <c r="A109" s="9"/>
      <c r="B109" s="1" t="s">
        <v>26</v>
      </c>
      <c r="C109" s="3">
        <v>16</v>
      </c>
      <c r="D109" s="87">
        <f t="shared" si="97"/>
        <v>0.94688297481103745</v>
      </c>
      <c r="E109" s="4"/>
      <c r="F109" s="111">
        <f t="shared" si="110"/>
        <v>0.65610000000000013</v>
      </c>
      <c r="G109" s="84">
        <f t="shared" si="111"/>
        <v>0.6648556860191559</v>
      </c>
      <c r="H109" s="153">
        <f t="shared" si="112"/>
        <v>0.62124991977352184</v>
      </c>
      <c r="I109" s="4"/>
      <c r="J109" s="115">
        <f t="shared" si="88"/>
        <v>1</v>
      </c>
      <c r="K109" s="155">
        <f t="shared" si="113"/>
        <v>6.25E-2</v>
      </c>
      <c r="L109" s="154">
        <f t="shared" si="114"/>
        <v>0.6648556860191559</v>
      </c>
      <c r="M109" s="154">
        <f t="shared" si="115"/>
        <v>0.62954052979785147</v>
      </c>
      <c r="N109" s="4"/>
      <c r="O109" s="115">
        <f t="shared" si="89"/>
        <v>1</v>
      </c>
      <c r="P109" s="94">
        <f t="shared" si="116"/>
        <v>6.25E-2</v>
      </c>
      <c r="Q109" s="154">
        <f t="shared" si="117"/>
        <v>0.6648556860191559</v>
      </c>
      <c r="R109" s="154">
        <f t="shared" si="118"/>
        <v>0.62954052979785147</v>
      </c>
      <c r="S109" s="51"/>
      <c r="T109" s="138">
        <f t="shared" si="90"/>
        <v>0</v>
      </c>
      <c r="U109" s="135">
        <f t="shared" si="106"/>
        <v>0</v>
      </c>
      <c r="W109" s="63">
        <f t="shared" si="81"/>
        <v>0</v>
      </c>
      <c r="X109" s="63">
        <f t="shared" si="107"/>
        <v>189653.02926756509</v>
      </c>
      <c r="Y109" s="63">
        <f t="shared" si="108"/>
        <v>-36905.625000000007</v>
      </c>
      <c r="Z109" s="63">
        <v>0</v>
      </c>
      <c r="AA109" s="63">
        <f t="shared" ca="1" si="91"/>
        <v>0</v>
      </c>
      <c r="AB109" s="64">
        <f t="shared" ca="1" si="119"/>
        <v>152747.40426756509</v>
      </c>
      <c r="AC109" s="51"/>
      <c r="AD109" s="51">
        <f t="shared" si="82"/>
        <v>0</v>
      </c>
      <c r="AE109" s="64">
        <f t="shared" si="93"/>
        <v>179579.22453479678</v>
      </c>
      <c r="AF109" s="64">
        <f t="shared" si="94"/>
        <v>-34945.307987260603</v>
      </c>
      <c r="AG109" s="51">
        <f t="shared" si="83"/>
        <v>0</v>
      </c>
      <c r="AH109" s="64">
        <f t="shared" ca="1" si="95"/>
        <v>0</v>
      </c>
      <c r="AI109" s="64">
        <f t="shared" ca="1" si="96"/>
        <v>144633.91654753618</v>
      </c>
      <c r="AJ109" s="57"/>
      <c r="AK109" s="51">
        <f ca="1">SUM(AD109:AD$109,AG109:AG$109)/D109+SUM(AE110:AF$110,AH$109:AH110)/D109</f>
        <v>0</v>
      </c>
      <c r="AL109" s="51">
        <f>SUM(AE110:$AF$110)*$G$14/D109</f>
        <v>0</v>
      </c>
      <c r="AM109" s="51"/>
      <c r="AN109" s="51">
        <f ca="1">-SUM(AD109:$AD$110,AH109:$AH$110)/D109</f>
        <v>0</v>
      </c>
      <c r="AO109" s="51">
        <f ca="1">-SUM(W109:$W$110,AA109:$AA$110)</f>
        <v>0</v>
      </c>
      <c r="AQ109" s="9">
        <f t="shared" ref="AQ109:AR109" ca="1" si="127">AK109-AK82</f>
        <v>0</v>
      </c>
      <c r="AR109" s="9">
        <f t="shared" si="127"/>
        <v>0</v>
      </c>
      <c r="AS109" s="9">
        <f t="shared" ca="1" si="86"/>
        <v>0</v>
      </c>
    </row>
    <row r="110" spans="1:45" outlineLevel="1" x14ac:dyDescent="0.55000000000000004">
      <c r="B110" s="8"/>
      <c r="C110" s="6"/>
      <c r="D110" s="7"/>
      <c r="E110" s="2"/>
      <c r="F110" s="112"/>
      <c r="G110" s="85"/>
      <c r="H110" s="79"/>
      <c r="I110" s="2"/>
      <c r="J110" s="6"/>
      <c r="K110" s="6"/>
      <c r="L110" s="71"/>
      <c r="M110" s="90"/>
      <c r="N110" s="2"/>
      <c r="O110" s="12"/>
      <c r="P110" s="12"/>
      <c r="Q110" s="50"/>
      <c r="R110" s="90"/>
      <c r="S110" s="55"/>
      <c r="T110" s="136"/>
      <c r="U110" s="136"/>
      <c r="W110" s="66"/>
      <c r="X110" s="66"/>
      <c r="Y110" s="66"/>
      <c r="Z110" s="66"/>
      <c r="AA110" s="66"/>
      <c r="AB110" s="66"/>
      <c r="AC110" s="55"/>
      <c r="AD110" s="67"/>
      <c r="AE110" s="68"/>
      <c r="AF110" s="68"/>
      <c r="AG110" s="67"/>
      <c r="AH110" s="67"/>
      <c r="AI110" s="68"/>
      <c r="AJ110" s="57"/>
      <c r="AK110" s="67"/>
      <c r="AL110" s="67"/>
      <c r="AM110" s="51"/>
      <c r="AN110" s="121"/>
      <c r="AO110" s="121"/>
      <c r="AQ110" s="67"/>
      <c r="AR110" s="67"/>
      <c r="AS110" s="67"/>
    </row>
    <row r="111" spans="1:45" outlineLevel="1" x14ac:dyDescent="0.55000000000000004">
      <c r="A111" s="9"/>
      <c r="B111" s="4"/>
      <c r="C111" s="4"/>
      <c r="D111" s="4"/>
      <c r="E111" s="4"/>
      <c r="F111" s="3"/>
      <c r="G111" s="3"/>
      <c r="H111" s="4"/>
      <c r="I111" s="4"/>
      <c r="J111" s="4"/>
      <c r="K111" s="4"/>
      <c r="L111" s="51"/>
      <c r="M111" s="51"/>
      <c r="N111" s="4"/>
      <c r="O111" s="4"/>
      <c r="P111" s="4"/>
      <c r="Q111" s="51"/>
      <c r="R111" s="51"/>
      <c r="S111" s="51"/>
      <c r="T111" s="4"/>
      <c r="U111" s="4"/>
      <c r="W111" s="51"/>
      <c r="X111" s="51"/>
      <c r="Y111" s="51"/>
      <c r="Z111" s="51"/>
      <c r="AA111" s="51"/>
      <c r="AB111" s="51"/>
      <c r="AC111" s="51"/>
      <c r="AD111" s="51"/>
      <c r="AE111" s="51"/>
      <c r="AF111" s="51"/>
      <c r="AG111" s="51"/>
      <c r="AH111" s="51"/>
      <c r="AI111" s="51"/>
      <c r="AJ111" s="57"/>
      <c r="AK111" s="51"/>
      <c r="AL111" s="51"/>
      <c r="AM111" s="51"/>
      <c r="AN111" s="70"/>
      <c r="AO111" s="70"/>
      <c r="AQ111" s="51"/>
      <c r="AR111" s="51"/>
      <c r="AS111" s="51"/>
    </row>
    <row r="112" spans="1:45" outlineLevel="1" x14ac:dyDescent="0.55000000000000004">
      <c r="A112" s="9"/>
      <c r="B112" s="24"/>
      <c r="C112" s="24"/>
      <c r="D112" s="25"/>
      <c r="E112" s="4"/>
      <c r="F112" s="26"/>
      <c r="G112" s="26"/>
      <c r="H112" s="26"/>
      <c r="I112" s="4"/>
      <c r="J112" s="80">
        <f>SUM(J94:J109)</f>
        <v>16</v>
      </c>
      <c r="K112" s="95">
        <f>SUM(K94:K109)</f>
        <v>1</v>
      </c>
      <c r="L112" s="81">
        <f>SUM(L94:L109)</f>
        <v>12.537953642112248</v>
      </c>
      <c r="M112" s="81">
        <f>SUM(M94:M109)</f>
        <v>12.142085965674374</v>
      </c>
      <c r="N112" s="4"/>
      <c r="O112" s="80">
        <f>SUM(O94:O109)</f>
        <v>16</v>
      </c>
      <c r="P112" s="95">
        <f>SUM(P94:P109)</f>
        <v>1</v>
      </c>
      <c r="Q112" s="81">
        <f>SUM(Q94:Q109)</f>
        <v>12.537953642112248</v>
      </c>
      <c r="R112" s="81">
        <f>SUM(R94:R109)</f>
        <v>12.142085965674374</v>
      </c>
      <c r="S112" s="52"/>
      <c r="T112" s="80">
        <f>SUM(T94:T109)</f>
        <v>1</v>
      </c>
      <c r="U112" s="95">
        <f>SUM(U94:U109)</f>
        <v>1</v>
      </c>
      <c r="W112" s="52">
        <f t="shared" ref="W112:AB112" si="128">SUM(W93:W109)</f>
        <v>-7210116.6069370387</v>
      </c>
      <c r="X112" s="52">
        <f t="shared" si="128"/>
        <v>3816123.5079742712</v>
      </c>
      <c r="Y112" s="52">
        <f t="shared" si="128"/>
        <v>-835037.10379638313</v>
      </c>
      <c r="Z112" s="52">
        <f t="shared" si="128"/>
        <v>-900000</v>
      </c>
      <c r="AA112" s="52">
        <f t="shared" ca="1" si="128"/>
        <v>60743.500432697976</v>
      </c>
      <c r="AB112" s="52">
        <f t="shared" ca="1" si="128"/>
        <v>-5068286.7023264514</v>
      </c>
      <c r="AC112" s="51"/>
      <c r="AD112" s="52">
        <f t="shared" ref="AD112:AI112" si="129">SUM(AD93:AD109)</f>
        <v>-7020876.9398921952</v>
      </c>
      <c r="AE112" s="52">
        <f t="shared" si="129"/>
        <v>3699189.2912915992</v>
      </c>
      <c r="AF112" s="52">
        <f t="shared" si="129"/>
        <v>-810729.90027112747</v>
      </c>
      <c r="AG112" s="52">
        <f t="shared" si="129"/>
        <v>-900000</v>
      </c>
      <c r="AH112" s="52">
        <f t="shared" ca="1" si="129"/>
        <v>59816.270704049639</v>
      </c>
      <c r="AI112" s="52">
        <f t="shared" ca="1" si="129"/>
        <v>-4972601.2781676734</v>
      </c>
      <c r="AJ112" s="52"/>
      <c r="AK112" s="52"/>
      <c r="AL112" s="52"/>
      <c r="AM112" s="51"/>
      <c r="AN112" s="70"/>
      <c r="AO112" s="70"/>
      <c r="AQ112" s="52"/>
      <c r="AR112" s="52"/>
      <c r="AS112" s="52"/>
    </row>
    <row r="113" spans="1:48" ht="15.3" x14ac:dyDescent="0.55000000000000004">
      <c r="A113" s="9"/>
      <c r="B113" s="24"/>
      <c r="C113" s="24"/>
      <c r="D113" s="4"/>
      <c r="E113" s="4"/>
      <c r="F113" s="4"/>
      <c r="G113" s="4"/>
      <c r="H113" s="4"/>
      <c r="I113" s="4"/>
      <c r="J113" s="24"/>
      <c r="K113" s="24"/>
      <c r="L113" s="52"/>
      <c r="M113" s="52"/>
      <c r="N113" s="4"/>
      <c r="O113" s="24"/>
      <c r="P113" s="24"/>
      <c r="Q113" s="52"/>
      <c r="R113" s="52"/>
      <c r="S113" s="51"/>
      <c r="T113" s="52"/>
      <c r="U113" s="72"/>
      <c r="V113" s="72"/>
      <c r="W113" s="52"/>
      <c r="X113" s="52"/>
      <c r="Y113" s="52"/>
      <c r="Z113" s="51"/>
      <c r="AA113" s="52"/>
      <c r="AB113" s="73"/>
      <c r="AC113" s="73"/>
      <c r="AD113" s="52"/>
      <c r="AE113" s="52"/>
      <c r="AF113" s="52"/>
      <c r="AG113" s="57"/>
      <c r="AH113" s="52"/>
      <c r="AI113" s="52"/>
      <c r="AJ113" s="51"/>
      <c r="AK113" s="51"/>
      <c r="AL113" s="51"/>
    </row>
    <row r="114" spans="1:48" ht="15.3" x14ac:dyDescent="0.55000000000000004">
      <c r="A114" s="9"/>
      <c r="B114" s="24"/>
      <c r="C114" s="24"/>
      <c r="D114" s="4"/>
      <c r="E114" s="4"/>
      <c r="F114" s="4"/>
      <c r="G114" s="4"/>
      <c r="H114" s="4"/>
      <c r="I114" s="4"/>
      <c r="J114" s="24"/>
      <c r="K114" s="24"/>
      <c r="L114" s="52"/>
      <c r="M114" s="52"/>
      <c r="N114" s="4"/>
      <c r="O114" s="24"/>
      <c r="P114" s="24"/>
      <c r="Q114" s="52"/>
      <c r="R114" s="52"/>
      <c r="S114" s="51"/>
      <c r="T114" s="52"/>
      <c r="U114" s="72"/>
      <c r="V114" s="72"/>
      <c r="W114" s="52"/>
      <c r="X114" s="52"/>
      <c r="Y114" s="52"/>
      <c r="Z114" s="51"/>
      <c r="AA114" s="52"/>
      <c r="AB114" s="73"/>
      <c r="AC114" s="73"/>
      <c r="AD114" s="52"/>
      <c r="AE114" s="52"/>
      <c r="AF114" s="52"/>
      <c r="AG114" s="57"/>
      <c r="AH114" s="52"/>
      <c r="AI114" s="52"/>
      <c r="AJ114" s="51"/>
      <c r="AK114" s="51"/>
      <c r="AL114" s="51"/>
    </row>
    <row r="115" spans="1:48" ht="18.3" x14ac:dyDescent="0.55000000000000004">
      <c r="A115" s="2"/>
      <c r="B115" s="143" t="s">
        <v>167</v>
      </c>
      <c r="C115" s="107"/>
      <c r="D115" s="108"/>
      <c r="H115" s="105"/>
      <c r="J115" s="2"/>
      <c r="K115" s="2"/>
      <c r="N115" s="2"/>
      <c r="O115" s="2"/>
      <c r="P115" s="2"/>
      <c r="Q115" s="2"/>
      <c r="S115" s="2"/>
      <c r="T115" s="2"/>
      <c r="U115" s="2"/>
      <c r="V115" s="2"/>
      <c r="W115" s="2"/>
      <c r="X115" s="2"/>
      <c r="Y115" s="2"/>
      <c r="Z115" s="2"/>
      <c r="AA115" s="22"/>
      <c r="AB115" s="2"/>
      <c r="AC115" s="2"/>
      <c r="AD115" s="2"/>
      <c r="AE115" s="2"/>
      <c r="AF115" s="2"/>
      <c r="AG115" s="21"/>
      <c r="AH115" s="2"/>
      <c r="AI115" s="2"/>
      <c r="AJ115" s="2"/>
      <c r="AK115" s="2"/>
      <c r="AL115" s="2"/>
    </row>
    <row r="116" spans="1:48" s="2" customFormat="1" outlineLevel="1" x14ac:dyDescent="0.55000000000000004">
      <c r="A116"/>
      <c r="B116"/>
      <c r="C116"/>
      <c r="AL116" s="70"/>
      <c r="AM116" s="70"/>
      <c r="AN116" s="70"/>
    </row>
    <row r="117" spans="1:48" s="2" customFormat="1" ht="19.899999999999999" customHeight="1" outlineLevel="1" x14ac:dyDescent="0.55000000000000004">
      <c r="A117"/>
      <c r="B117" s="185" t="s">
        <v>150</v>
      </c>
      <c r="C117" s="185"/>
      <c r="D117" s="13"/>
      <c r="E117" s="186" t="s">
        <v>140</v>
      </c>
      <c r="F117" s="186"/>
      <c r="G117" s="186"/>
      <c r="H117" s="186"/>
      <c r="I117" s="186"/>
      <c r="J117" s="186"/>
      <c r="K117" s="186"/>
      <c r="L117" s="186"/>
      <c r="M117" s="186"/>
      <c r="O117" s="186" t="s">
        <v>326</v>
      </c>
      <c r="P117" s="186"/>
      <c r="Q117" s="186"/>
      <c r="R117" s="186"/>
      <c r="S117" s="186"/>
      <c r="T117" s="186"/>
      <c r="U117" s="186"/>
      <c r="W117" s="186" t="s">
        <v>141</v>
      </c>
      <c r="X117" s="186"/>
      <c r="Y117" s="186"/>
      <c r="Z117" s="186"/>
      <c r="AA117" s="186"/>
      <c r="AB117" s="186"/>
      <c r="AC117" s="186"/>
      <c r="AD117" s="109"/>
      <c r="AE117" s="182"/>
      <c r="AF117" s="182"/>
      <c r="AG117" s="182"/>
      <c r="AH117" s="182"/>
      <c r="AI117" s="182"/>
      <c r="AJ117" s="182"/>
      <c r="AK117" s="182"/>
      <c r="AM117" s="70"/>
      <c r="AN117" s="70"/>
      <c r="AO117" s="70"/>
    </row>
    <row r="118" spans="1:48" s="2" customFormat="1" ht="30.6" customHeight="1" outlineLevel="1" x14ac:dyDescent="0.55000000000000004">
      <c r="A118"/>
      <c r="B118" s="145" t="s">
        <v>145</v>
      </c>
      <c r="C118" s="145" t="s">
        <v>10</v>
      </c>
      <c r="D118" s="13"/>
      <c r="E118" s="76" t="s">
        <v>11</v>
      </c>
      <c r="F118" s="76" t="s">
        <v>338</v>
      </c>
      <c r="G118" s="76" t="s">
        <v>339</v>
      </c>
      <c r="H118" s="76" t="s">
        <v>13</v>
      </c>
      <c r="I118" s="76" t="s">
        <v>340</v>
      </c>
      <c r="J118" s="76" t="s">
        <v>119</v>
      </c>
      <c r="K118" s="76" t="s">
        <v>341</v>
      </c>
      <c r="L118" s="76" t="s">
        <v>342</v>
      </c>
      <c r="M118" s="76" t="s">
        <v>14</v>
      </c>
      <c r="O118" s="76" t="s">
        <v>11</v>
      </c>
      <c r="P118" s="76" t="s">
        <v>338</v>
      </c>
      <c r="Q118" s="76" t="s">
        <v>13</v>
      </c>
      <c r="R118" s="76" t="s">
        <v>133</v>
      </c>
      <c r="S118" s="76" t="s">
        <v>341</v>
      </c>
      <c r="T118" s="76" t="s">
        <v>144</v>
      </c>
      <c r="U118" s="76" t="s">
        <v>14</v>
      </c>
      <c r="W118" s="76" t="s">
        <v>11</v>
      </c>
      <c r="X118" s="76" t="s">
        <v>338</v>
      </c>
      <c r="Y118" s="76" t="s">
        <v>13</v>
      </c>
      <c r="Z118" s="171" t="s">
        <v>386</v>
      </c>
      <c r="AA118" s="76" t="s">
        <v>341</v>
      </c>
      <c r="AB118" s="76" t="s">
        <v>133</v>
      </c>
      <c r="AC118" s="76" t="s">
        <v>14</v>
      </c>
      <c r="AD118" s="148"/>
      <c r="AE118" s="161"/>
      <c r="AF118" s="161"/>
      <c r="AG118" s="161"/>
      <c r="AH118" s="161"/>
      <c r="AI118" s="161"/>
      <c r="AJ118" s="161"/>
      <c r="AK118" s="161"/>
      <c r="AM118" s="70"/>
      <c r="AN118" s="70"/>
      <c r="AO118" s="70"/>
    </row>
    <row r="119" spans="1:48" s="2" customFormat="1" outlineLevel="1" x14ac:dyDescent="0.55000000000000004">
      <c r="A119" s="19"/>
      <c r="B119" s="15" t="s">
        <v>269</v>
      </c>
      <c r="C119" s="15" t="s">
        <v>270</v>
      </c>
      <c r="D119" s="13"/>
      <c r="E119" s="16" t="s">
        <v>271</v>
      </c>
      <c r="F119" s="16" t="s">
        <v>272</v>
      </c>
      <c r="G119" s="16" t="s">
        <v>273</v>
      </c>
      <c r="H119" s="16" t="s">
        <v>274</v>
      </c>
      <c r="I119" s="16" t="s">
        <v>275</v>
      </c>
      <c r="J119" s="16" t="s">
        <v>276</v>
      </c>
      <c r="K119" s="16" t="s">
        <v>277</v>
      </c>
      <c r="L119" s="16" t="s">
        <v>278</v>
      </c>
      <c r="M119" s="16" t="s">
        <v>279</v>
      </c>
      <c r="O119" s="16" t="s">
        <v>280</v>
      </c>
      <c r="P119" s="16" t="s">
        <v>281</v>
      </c>
      <c r="Q119" s="16" t="s">
        <v>282</v>
      </c>
      <c r="R119" s="16" t="s">
        <v>283</v>
      </c>
      <c r="S119" s="16" t="s">
        <v>284</v>
      </c>
      <c r="T119" s="16" t="s">
        <v>285</v>
      </c>
      <c r="U119" s="16" t="s">
        <v>286</v>
      </c>
      <c r="W119" s="16" t="s">
        <v>287</v>
      </c>
      <c r="X119" s="16" t="s">
        <v>288</v>
      </c>
      <c r="Y119" s="16" t="s">
        <v>289</v>
      </c>
      <c r="Z119" s="16" t="s">
        <v>290</v>
      </c>
      <c r="AA119" s="16" t="s">
        <v>291</v>
      </c>
      <c r="AB119" s="16" t="s">
        <v>292</v>
      </c>
      <c r="AC119" s="16" t="s">
        <v>385</v>
      </c>
      <c r="AE119" s="149"/>
      <c r="AF119" s="149"/>
      <c r="AG119" s="149"/>
      <c r="AH119" s="149"/>
      <c r="AI119" s="149"/>
      <c r="AJ119" s="149"/>
      <c r="AK119" s="149"/>
      <c r="AM119" s="70"/>
      <c r="AN119" s="70"/>
      <c r="AO119" s="70"/>
    </row>
    <row r="120" spans="1:48" s="2" customFormat="1" outlineLevel="1" x14ac:dyDescent="0.55000000000000004">
      <c r="A120"/>
      <c r="B120" s="1"/>
      <c r="C120" s="3">
        <v>0</v>
      </c>
      <c r="D120" s="13"/>
      <c r="E120" s="63"/>
      <c r="F120" s="63"/>
      <c r="G120" s="63"/>
      <c r="H120" s="63"/>
      <c r="I120" s="63"/>
      <c r="K120" s="63"/>
      <c r="L120" s="63"/>
      <c r="M120" s="63"/>
      <c r="O120" s="63"/>
      <c r="P120" s="63"/>
      <c r="Q120" s="4"/>
      <c r="R120" s="4"/>
      <c r="S120" s="4"/>
      <c r="T120" s="63"/>
      <c r="U120" s="4"/>
      <c r="W120" s="63"/>
      <c r="X120" s="4"/>
      <c r="Y120" s="4"/>
      <c r="Z120" s="4"/>
      <c r="AA120" s="4"/>
      <c r="AB120" s="4"/>
      <c r="AC120" s="4"/>
      <c r="AD120" s="109"/>
      <c r="AE120" s="162"/>
      <c r="AF120" s="163"/>
      <c r="AG120" s="163"/>
      <c r="AH120" s="164"/>
      <c r="AI120" s="163"/>
      <c r="AJ120" s="163"/>
      <c r="AK120" s="163"/>
      <c r="AM120" s="70"/>
      <c r="AN120" s="70"/>
      <c r="AO120" s="70"/>
    </row>
    <row r="121" spans="1:48" s="2" customFormat="1" outlineLevel="1" x14ac:dyDescent="0.55000000000000004">
      <c r="A121" s="9"/>
      <c r="B121" s="1" t="s">
        <v>6</v>
      </c>
      <c r="C121" s="3">
        <v>1</v>
      </c>
      <c r="D121" s="13"/>
      <c r="E121" s="63">
        <f t="shared" ref="E121:E128" si="130">IF(C121=1,0,M120)</f>
        <v>0</v>
      </c>
      <c r="F121" s="63">
        <f t="shared" ref="F121:F136" ca="1" si="131">IF($C121=1,$AK$39,0)</f>
        <v>-4316362.5334659088</v>
      </c>
      <c r="G121" s="63">
        <f t="shared" ref="G121:G136" si="132">IF($C121&lt;=$F$8,-(W39+Z39),-(W93+Z93))</f>
        <v>2025000</v>
      </c>
      <c r="H121" s="63">
        <f t="shared" ref="H121:H128" ca="1" si="133">SUM(E121:G121)*((1+IF($C121&lt;=$F$8,$F$17,$G$17))^(1/4)-1)</f>
        <v>-11371.875462994258</v>
      </c>
      <c r="I121" s="63">
        <f t="shared" ref="I121:I136" si="134">IF($C121&lt;=$F$8,-(X40+Y40),-(X94+Y94))</f>
        <v>-240185.83921243381</v>
      </c>
      <c r="J121" s="63">
        <f t="shared" ref="J121:J136" ca="1" si="135">IF($C121&lt;=$F$8,-(AA40),-(AA94))</f>
        <v>-30520.344935713594</v>
      </c>
      <c r="K121" s="63">
        <f t="shared" ref="K121:K136" si="136">IF($C121=$F$8,AQ67,0)</f>
        <v>0</v>
      </c>
      <c r="L121" s="63">
        <f t="shared" ref="L121:L136" si="137">IF($C121=$F$8,AQ94,0)</f>
        <v>0</v>
      </c>
      <c r="M121" s="63">
        <f t="shared" ref="M121:M128" ca="1" si="138">SUM(E121:L121)</f>
        <v>-2573440.593077051</v>
      </c>
      <c r="N121" s="123"/>
      <c r="O121" s="63">
        <f t="shared" ref="O121:O128" si="139">IF(C121=1,0,U120)</f>
        <v>0</v>
      </c>
      <c r="P121" s="63">
        <f t="shared" ref="P121:P136" si="140">IF($C121=1,$AL$39,0)</f>
        <v>128683.9098865398</v>
      </c>
      <c r="Q121" s="4">
        <f t="shared" ref="Q121:Q128" si="141">SUM(O121:P121)*((1+IF($C121&lt;=$F$8,$F$17,$G$17))^(1/4)-1)</f>
        <v>638.6494393392237</v>
      </c>
      <c r="R121" s="4">
        <f>U121-SUM(S121:T121,O121:Q121)</f>
        <v>-12009.291960621689</v>
      </c>
      <c r="S121" s="4">
        <f t="shared" ref="S121:S136" si="142">IF($C121=$F$8,AR67,0)</f>
        <v>0</v>
      </c>
      <c r="T121" s="63">
        <f t="shared" ref="T121:T136" si="143">IF($C121=$F$8,AR94,0)</f>
        <v>0</v>
      </c>
      <c r="U121" s="4">
        <f t="shared" ref="U121:U136" si="144">IF(C121&lt;$F$8,AL40,AL94)</f>
        <v>117313.26736525733</v>
      </c>
      <c r="V121" s="123"/>
      <c r="W121" s="63">
        <f t="shared" ref="W121:W136" si="145">IF(C121=1,0,AC120)</f>
        <v>0</v>
      </c>
      <c r="X121" s="4">
        <f ca="1">IF($C121=1,-F121-P121,0)</f>
        <v>4187678.6235793689</v>
      </c>
      <c r="Y121" s="4">
        <f ca="1">SUM(W121:X121)*((1+$F$17)^(1/4)-1)</f>
        <v>20783.16245939277</v>
      </c>
      <c r="Z121" s="4">
        <f>IF(AND(C121=$F$8,$F$29="yes"),-(W67-W40),0)</f>
        <v>0</v>
      </c>
      <c r="AA121" s="4">
        <f t="shared" ref="AA121:AA136" si="146">IF($C121=$F$8,-K121-S121,0)</f>
        <v>0</v>
      </c>
      <c r="AB121" s="4">
        <f ca="1">-SUM(W121:AA121)*IFERROR(IF(C121&lt;$F$8,IF($F$23="yes",M40/SUM(M40:$M$56),L40/SUM(L40:$L$56)),IF($F$23="yes",M67/SUM(M67:$M$83),L67/SUM(L67:$L$83))),0)</f>
        <v>-398974.73282051506</v>
      </c>
      <c r="AC121" s="4">
        <f t="shared" ref="AC121:AC136" ca="1" si="147">SUM(W121:AB121)</f>
        <v>3809487.0532182469</v>
      </c>
      <c r="AD121" s="123"/>
      <c r="AE121" s="162"/>
      <c r="AF121" s="163"/>
      <c r="AG121" s="162"/>
      <c r="AH121" s="163"/>
      <c r="AI121" s="163"/>
      <c r="AJ121" s="163"/>
      <c r="AK121" s="163"/>
      <c r="AL121" s="123"/>
      <c r="AM121" s="70"/>
      <c r="AN121" s="70"/>
      <c r="AO121" s="70"/>
      <c r="AQ121" s="124"/>
      <c r="AR121" s="4"/>
      <c r="AT121" s="125"/>
      <c r="AV121" s="4"/>
    </row>
    <row r="122" spans="1:48" s="2" customFormat="1" outlineLevel="1" x14ac:dyDescent="0.55000000000000004">
      <c r="A122" s="9"/>
      <c r="B122" s="1" t="s">
        <v>7</v>
      </c>
      <c r="C122" s="3">
        <v>2</v>
      </c>
      <c r="D122" s="13"/>
      <c r="E122" s="63">
        <f t="shared" ca="1" si="130"/>
        <v>-2573440.593077051</v>
      </c>
      <c r="F122" s="63">
        <f t="shared" si="131"/>
        <v>0</v>
      </c>
      <c r="G122" s="63">
        <f t="shared" si="132"/>
        <v>0</v>
      </c>
      <c r="H122" s="63">
        <f t="shared" ca="1" si="133"/>
        <v>-12771.809571146465</v>
      </c>
      <c r="I122" s="63">
        <f t="shared" si="134"/>
        <v>-227907.4739916792</v>
      </c>
      <c r="J122" s="63">
        <f t="shared" ca="1" si="135"/>
        <v>0</v>
      </c>
      <c r="K122" s="63">
        <f t="shared" si="136"/>
        <v>0</v>
      </c>
      <c r="L122" s="63">
        <f t="shared" si="137"/>
        <v>0</v>
      </c>
      <c r="M122" s="63">
        <f t="shared" ca="1" si="138"/>
        <v>-2814119.8766398765</v>
      </c>
      <c r="N122" s="123"/>
      <c r="O122" s="63">
        <f t="shared" si="139"/>
        <v>117313.26736525733</v>
      </c>
      <c r="P122" s="63">
        <f t="shared" si="140"/>
        <v>0</v>
      </c>
      <c r="Q122" s="4">
        <f t="shared" si="141"/>
        <v>582.2177185627371</v>
      </c>
      <c r="R122" s="4">
        <f t="shared" ref="R122:R129" si="148">U122-SUM(S122:T122,O122:Q122)</f>
        <v>-11395.373699583928</v>
      </c>
      <c r="S122" s="4">
        <f t="shared" si="142"/>
        <v>0</v>
      </c>
      <c r="T122" s="63">
        <f t="shared" si="143"/>
        <v>0</v>
      </c>
      <c r="U122" s="4">
        <f t="shared" si="144"/>
        <v>106500.11138423614</v>
      </c>
      <c r="V122" s="123"/>
      <c r="W122" s="63">
        <f t="shared" ca="1" si="145"/>
        <v>3809487.0532182469</v>
      </c>
      <c r="X122" s="4">
        <f t="shared" ref="X122:X136" si="149">IF($C122=1,-F122-P122,0)</f>
        <v>0</v>
      </c>
      <c r="Y122" s="4">
        <f t="shared" ref="Y122:Y128" ca="1" si="150">SUM(W122:X122)*((1+$F$17)^(1/4)-1)</f>
        <v>18906.223574128024</v>
      </c>
      <c r="Z122" s="4">
        <f t="shared" ref="Z122:Z136" si="151">IF(AND(C122=$F$8,$F$29="yes"),-(W68-W41),0)</f>
        <v>0</v>
      </c>
      <c r="AA122" s="4">
        <f t="shared" si="146"/>
        <v>0</v>
      </c>
      <c r="AB122" s="4">
        <f ca="1">-SUM(W122:AA122)*IFERROR(IF(C122&lt;$F$8,IF($F$23="yes",M41/SUM(M41:$M$56),L41/SUM(L41:$L$56)),IF($F$23="yes",M68/SUM(M68:$M$83),L68/SUM(L68:$L$83))),0)</f>
        <v>-377327.00576928625</v>
      </c>
      <c r="AC122" s="4">
        <f t="shared" ca="1" si="147"/>
        <v>3451066.2710230886</v>
      </c>
      <c r="AD122" s="123"/>
      <c r="AE122" s="162"/>
      <c r="AF122" s="163"/>
      <c r="AG122" s="162"/>
      <c r="AH122" s="163"/>
      <c r="AI122" s="163"/>
      <c r="AJ122" s="163"/>
      <c r="AK122" s="163"/>
      <c r="AL122" s="123"/>
      <c r="AM122" s="70"/>
      <c r="AN122" s="70"/>
      <c r="AO122" s="70"/>
      <c r="AP122" s="22"/>
      <c r="AQ122" s="124"/>
      <c r="AR122" s="45"/>
      <c r="AT122" s="125"/>
      <c r="AV122" s="4"/>
    </row>
    <row r="123" spans="1:48" s="2" customFormat="1" outlineLevel="1" x14ac:dyDescent="0.55000000000000004">
      <c r="A123" s="9"/>
      <c r="B123" s="1" t="s">
        <v>8</v>
      </c>
      <c r="C123" s="3">
        <v>3</v>
      </c>
      <c r="D123" s="13"/>
      <c r="E123" s="63">
        <f t="shared" ca="1" si="130"/>
        <v>-2814119.8766398765</v>
      </c>
      <c r="F123" s="63">
        <f t="shared" si="131"/>
        <v>0</v>
      </c>
      <c r="G123" s="63">
        <f t="shared" si="132"/>
        <v>1006230.5898749053</v>
      </c>
      <c r="H123" s="63">
        <f t="shared" ca="1" si="133"/>
        <v>-8972.4308221428128</v>
      </c>
      <c r="I123" s="63">
        <f t="shared" si="134"/>
        <v>-216256.19227380841</v>
      </c>
      <c r="J123" s="63">
        <f t="shared" ca="1" si="135"/>
        <v>-24416.275948570881</v>
      </c>
      <c r="K123" s="63">
        <f t="shared" si="136"/>
        <v>0</v>
      </c>
      <c r="L123" s="63">
        <f t="shared" si="137"/>
        <v>0</v>
      </c>
      <c r="M123" s="63">
        <f t="shared" ca="1" si="138"/>
        <v>-2057534.1858094933</v>
      </c>
      <c r="N123" s="123"/>
      <c r="O123" s="63">
        <f t="shared" si="139"/>
        <v>106500.11138423614</v>
      </c>
      <c r="P123" s="63">
        <f t="shared" si="140"/>
        <v>0</v>
      </c>
      <c r="Q123" s="4">
        <f t="shared" si="141"/>
        <v>528.55276533854931</v>
      </c>
      <c r="R123" s="4">
        <f t="shared" si="148"/>
        <v>-10812.809613690435</v>
      </c>
      <c r="S123" s="4">
        <f t="shared" si="142"/>
        <v>0</v>
      </c>
      <c r="T123" s="63">
        <f t="shared" si="143"/>
        <v>0</v>
      </c>
      <c r="U123" s="4">
        <f t="shared" si="144"/>
        <v>96215.854535884253</v>
      </c>
      <c r="V123" s="123"/>
      <c r="W123" s="63">
        <f t="shared" ca="1" si="145"/>
        <v>3451066.2710230886</v>
      </c>
      <c r="X123" s="4">
        <f t="shared" si="149"/>
        <v>0</v>
      </c>
      <c r="Y123" s="4">
        <f t="shared" ca="1" si="150"/>
        <v>17127.405757679262</v>
      </c>
      <c r="Z123" s="4">
        <f t="shared" si="151"/>
        <v>0</v>
      </c>
      <c r="AA123" s="4">
        <f t="shared" si="146"/>
        <v>0</v>
      </c>
      <c r="AB123" s="4">
        <f ca="1">-SUM(W123:AA123)*IFERROR(IF(C123&lt;$F$8,IF($F$23="yes",M42/SUM(M42:$M$56),L42/SUM(L42:$L$56)),IF($F$23="yes",M69/SUM(M69:$M$83),L69/SUM(L69:$L$83))),0)</f>
        <v>-356853.84955659526</v>
      </c>
      <c r="AC123" s="4">
        <f t="shared" ca="1" si="147"/>
        <v>3111339.8272241727</v>
      </c>
      <c r="AD123" s="123"/>
      <c r="AE123" s="162"/>
      <c r="AF123" s="163"/>
      <c r="AG123" s="162"/>
      <c r="AH123" s="163"/>
      <c r="AI123" s="163"/>
      <c r="AJ123" s="163"/>
      <c r="AK123" s="163"/>
      <c r="AL123" s="123"/>
      <c r="AM123" s="70"/>
      <c r="AN123" s="70"/>
      <c r="AO123" s="70"/>
      <c r="AP123" s="22"/>
      <c r="AQ123" s="124"/>
      <c r="AT123" s="125"/>
      <c r="AV123" s="4"/>
    </row>
    <row r="124" spans="1:48" s="2" customFormat="1" outlineLevel="1" x14ac:dyDescent="0.55000000000000004">
      <c r="A124" s="9"/>
      <c r="B124" s="1" t="s">
        <v>9</v>
      </c>
      <c r="C124" s="3">
        <v>4</v>
      </c>
      <c r="D124" s="13"/>
      <c r="E124" s="63">
        <f t="shared" ca="1" si="130"/>
        <v>-2057534.1858094933</v>
      </c>
      <c r="F124" s="63">
        <f t="shared" si="131"/>
        <v>0</v>
      </c>
      <c r="G124" s="63">
        <f t="shared" si="132"/>
        <v>0</v>
      </c>
      <c r="H124" s="63">
        <f t="shared" ca="1" si="133"/>
        <v>-10211.401373700153</v>
      </c>
      <c r="I124" s="63">
        <f t="shared" si="134"/>
        <v>-205200</v>
      </c>
      <c r="J124" s="63">
        <f t="shared" ca="1" si="135"/>
        <v>0</v>
      </c>
      <c r="K124" s="63">
        <f t="shared" si="136"/>
        <v>0</v>
      </c>
      <c r="L124" s="63">
        <f t="shared" si="137"/>
        <v>0</v>
      </c>
      <c r="M124" s="63">
        <f t="shared" ca="1" si="138"/>
        <v>-2272945.5871831933</v>
      </c>
      <c r="N124" s="123"/>
      <c r="O124" s="63">
        <f t="shared" si="139"/>
        <v>96215.854535884253</v>
      </c>
      <c r="P124" s="63">
        <f t="shared" si="140"/>
        <v>0</v>
      </c>
      <c r="Q124" s="4">
        <f t="shared" si="141"/>
        <v>477.51270231892607</v>
      </c>
      <c r="R124" s="4">
        <f t="shared" si="148"/>
        <v>-10260</v>
      </c>
      <c r="S124" s="4">
        <f t="shared" si="142"/>
        <v>0</v>
      </c>
      <c r="T124" s="63">
        <f t="shared" si="143"/>
        <v>0</v>
      </c>
      <c r="U124" s="4">
        <f t="shared" si="144"/>
        <v>86433.36723820318</v>
      </c>
      <c r="V124" s="123"/>
      <c r="W124" s="63">
        <f t="shared" ca="1" si="145"/>
        <v>3111339.8272241727</v>
      </c>
      <c r="X124" s="4">
        <f t="shared" si="149"/>
        <v>0</v>
      </c>
      <c r="Y124" s="4">
        <f t="shared" ca="1" si="150"/>
        <v>15441.366663497369</v>
      </c>
      <c r="Z124" s="4">
        <f t="shared" si="151"/>
        <v>0</v>
      </c>
      <c r="AA124" s="4">
        <f t="shared" si="146"/>
        <v>0</v>
      </c>
      <c r="AB124" s="4">
        <f ca="1">-SUM(W124:AA124)*IFERROR(IF(C124&lt;$F$8,IF($F$23="yes",M43/SUM(M43:$M$56),L43/SUM(L43:$L$56)),IF($F$23="yes",M70/SUM(M70:$M$83),L70/SUM(L70:$L$83))),0)</f>
        <v>-337491.5338586318</v>
      </c>
      <c r="AC124" s="4">
        <f t="shared" ca="1" si="147"/>
        <v>2789289.6600290383</v>
      </c>
      <c r="AD124" s="123"/>
      <c r="AE124" s="162"/>
      <c r="AF124" s="163"/>
      <c r="AG124" s="162"/>
      <c r="AH124" s="163"/>
      <c r="AI124" s="163"/>
      <c r="AJ124" s="163"/>
      <c r="AK124" s="163"/>
      <c r="AL124" s="123"/>
      <c r="AM124" s="70"/>
      <c r="AN124" s="70"/>
      <c r="AO124" s="70"/>
      <c r="AP124" s="22"/>
      <c r="AQ124" s="124"/>
      <c r="AT124" s="125"/>
      <c r="AV124" s="4"/>
    </row>
    <row r="125" spans="1:48" s="55" customFormat="1" outlineLevel="1" x14ac:dyDescent="0.55000000000000004">
      <c r="A125" s="89"/>
      <c r="B125" s="1" t="s">
        <v>15</v>
      </c>
      <c r="C125" s="3">
        <v>5</v>
      </c>
      <c r="D125" s="118"/>
      <c r="E125" s="63">
        <f t="shared" ca="1" si="130"/>
        <v>-2272945.5871831933</v>
      </c>
      <c r="F125" s="63">
        <f t="shared" si="131"/>
        <v>0</v>
      </c>
      <c r="G125" s="63">
        <f t="shared" si="132"/>
        <v>900000</v>
      </c>
      <c r="H125" s="63">
        <f t="shared" ca="1" si="133"/>
        <v>-6813.8350029223302</v>
      </c>
      <c r="I125" s="63">
        <f t="shared" si="134"/>
        <v>-194708.53366972375</v>
      </c>
      <c r="J125" s="63">
        <f t="shared" ca="1" si="135"/>
        <v>-19533.020758856699</v>
      </c>
      <c r="K125" s="63">
        <f t="shared" si="136"/>
        <v>0</v>
      </c>
      <c r="L125" s="63">
        <f t="shared" si="137"/>
        <v>0</v>
      </c>
      <c r="M125" s="63">
        <f t="shared" ca="1" si="138"/>
        <v>-1594000.976614696</v>
      </c>
      <c r="N125" s="123"/>
      <c r="O125" s="63">
        <f t="shared" si="139"/>
        <v>86433.36723820318</v>
      </c>
      <c r="P125" s="63">
        <f t="shared" si="140"/>
        <v>0</v>
      </c>
      <c r="Q125" s="51">
        <f t="shared" si="141"/>
        <v>428.96288724479933</v>
      </c>
      <c r="R125" s="51">
        <f t="shared" si="148"/>
        <v>-9735.4266834861628</v>
      </c>
      <c r="S125" s="51">
        <f t="shared" si="142"/>
        <v>0</v>
      </c>
      <c r="T125" s="63">
        <f t="shared" si="143"/>
        <v>0</v>
      </c>
      <c r="U125" s="51">
        <f t="shared" si="144"/>
        <v>77126.903441961811</v>
      </c>
      <c r="V125" s="123"/>
      <c r="W125" s="63">
        <f t="shared" ca="1" si="145"/>
        <v>2789289.6600290383</v>
      </c>
      <c r="X125" s="4">
        <f t="shared" si="149"/>
        <v>0</v>
      </c>
      <c r="Y125" s="51">
        <f t="shared" ca="1" si="150"/>
        <v>13843.053720569067</v>
      </c>
      <c r="Z125" s="4">
        <f t="shared" si="151"/>
        <v>0</v>
      </c>
      <c r="AA125" s="4">
        <f t="shared" si="146"/>
        <v>0</v>
      </c>
      <c r="AB125" s="51">
        <f ca="1">-SUM(W125:AA125)*IFERROR(IF(C125&lt;$F$8,IF($F$23="yes",M44/SUM(M44:$M$56),L44/SUM(L44:$L$56)),IF($F$23="yes",M71/SUM(M71:$M$83),L71/SUM(L71:$L$83))),0)</f>
        <v>-319179.78625641222</v>
      </c>
      <c r="AC125" s="51">
        <f t="shared" ca="1" si="147"/>
        <v>2483952.9274931955</v>
      </c>
      <c r="AD125" s="123"/>
      <c r="AE125" s="162"/>
      <c r="AF125" s="165"/>
      <c r="AG125" s="162"/>
      <c r="AH125" s="163"/>
      <c r="AI125" s="165"/>
      <c r="AJ125" s="165"/>
      <c r="AK125" s="165"/>
      <c r="AL125" s="123"/>
      <c r="AM125" s="70"/>
      <c r="AN125" s="70"/>
      <c r="AO125" s="70"/>
      <c r="AP125" s="22"/>
      <c r="AQ125" s="124"/>
      <c r="AT125" s="125"/>
      <c r="AU125" s="2"/>
      <c r="AV125" s="4"/>
    </row>
    <row r="126" spans="1:48" s="2" customFormat="1" outlineLevel="1" x14ac:dyDescent="0.55000000000000004">
      <c r="A126" s="9"/>
      <c r="B126" s="1" t="s">
        <v>16</v>
      </c>
      <c r="C126" s="3">
        <v>6</v>
      </c>
      <c r="D126" s="13"/>
      <c r="E126" s="63">
        <f t="shared" ca="1" si="130"/>
        <v>-1594000.976614696</v>
      </c>
      <c r="F126" s="63">
        <f t="shared" si="131"/>
        <v>0</v>
      </c>
      <c r="G126" s="63">
        <f t="shared" si="132"/>
        <v>0</v>
      </c>
      <c r="H126" s="63">
        <f t="shared" ca="1" si="133"/>
        <v>-7910.9177745588013</v>
      </c>
      <c r="I126" s="63">
        <f t="shared" si="134"/>
        <v>-184752.97733920172</v>
      </c>
      <c r="J126" s="63">
        <f t="shared" ca="1" si="135"/>
        <v>0</v>
      </c>
      <c r="K126" s="63">
        <f t="shared" si="136"/>
        <v>0</v>
      </c>
      <c r="L126" s="63">
        <f t="shared" si="137"/>
        <v>0</v>
      </c>
      <c r="M126" s="63">
        <f t="shared" ca="1" si="138"/>
        <v>-1786664.8717284566</v>
      </c>
      <c r="N126" s="123"/>
      <c r="O126" s="63">
        <f t="shared" si="139"/>
        <v>77126.903441961811</v>
      </c>
      <c r="P126" s="63">
        <f t="shared" si="140"/>
        <v>0</v>
      </c>
      <c r="Q126" s="4">
        <f t="shared" si="141"/>
        <v>382.77554423555478</v>
      </c>
      <c r="R126" s="4">
        <f>U126-SUM(S126:T126,O126:Q126)</f>
        <v>-9237.6488669601094</v>
      </c>
      <c r="S126" s="4">
        <f t="shared" si="142"/>
        <v>0</v>
      </c>
      <c r="T126" s="63">
        <f t="shared" si="143"/>
        <v>0</v>
      </c>
      <c r="U126" s="4">
        <f t="shared" si="144"/>
        <v>68272.030119237257</v>
      </c>
      <c r="V126" s="123"/>
      <c r="W126" s="63">
        <f t="shared" ca="1" si="145"/>
        <v>2483952.9274931955</v>
      </c>
      <c r="X126" s="4">
        <f t="shared" si="149"/>
        <v>0</v>
      </c>
      <c r="Y126" s="4">
        <f t="shared" ca="1" si="150"/>
        <v>12327.688410208042</v>
      </c>
      <c r="Z126" s="4">
        <f t="shared" si="151"/>
        <v>0</v>
      </c>
      <c r="AA126" s="4">
        <f t="shared" si="146"/>
        <v>0</v>
      </c>
      <c r="AB126" s="4">
        <f ca="1">-SUM(W126:AA126)*IFERROR(IF(C126&lt;$F$8,IF($F$23="yes",M45/SUM(M45:$M$56),L45/SUM(L45:$L$56)),IF($F$23="yes",M72/SUM(M72:$M$83),L72/SUM(L72:$L$83))),0)</f>
        <v>-301861.60461542913</v>
      </c>
      <c r="AC126" s="4">
        <f t="shared" ca="1" si="147"/>
        <v>2194419.0112879747</v>
      </c>
      <c r="AD126" s="123"/>
      <c r="AE126" s="162"/>
      <c r="AF126" s="163"/>
      <c r="AG126" s="162"/>
      <c r="AH126" s="163"/>
      <c r="AI126" s="163"/>
      <c r="AJ126" s="163"/>
      <c r="AK126" s="163"/>
      <c r="AL126" s="123"/>
      <c r="AM126" s="70"/>
      <c r="AN126" s="70"/>
      <c r="AO126" s="70"/>
      <c r="AP126" s="22"/>
      <c r="AQ126" s="124"/>
      <c r="AT126" s="125"/>
      <c r="AV126" s="4"/>
    </row>
    <row r="127" spans="1:48" s="2" customFormat="1" outlineLevel="1" x14ac:dyDescent="0.55000000000000004">
      <c r="A127" s="9"/>
      <c r="B127" s="1" t="s">
        <v>17</v>
      </c>
      <c r="C127" s="3">
        <v>7</v>
      </c>
      <c r="D127" s="13"/>
      <c r="E127" s="63">
        <f t="shared" ca="1" si="130"/>
        <v>-1786664.8717284566</v>
      </c>
      <c r="F127" s="63">
        <f t="shared" si="131"/>
        <v>0</v>
      </c>
      <c r="G127" s="63">
        <f t="shared" si="132"/>
        <v>804984.47189992433</v>
      </c>
      <c r="H127" s="63">
        <f t="shared" ca="1" si="133"/>
        <v>-4872.0126511043736</v>
      </c>
      <c r="I127" s="63">
        <f t="shared" si="134"/>
        <v>-175305.98383949514</v>
      </c>
      <c r="J127" s="63">
        <f t="shared" ca="1" si="135"/>
        <v>-15626.416607085357</v>
      </c>
      <c r="K127" s="63">
        <f t="shared" ca="1" si="136"/>
        <v>-615097.39528058958</v>
      </c>
      <c r="L127" s="63">
        <f t="shared" ca="1" si="137"/>
        <v>-13458.463712706929</v>
      </c>
      <c r="M127" s="63">
        <f t="shared" ca="1" si="138"/>
        <v>-1806040.6719195137</v>
      </c>
      <c r="N127" s="123"/>
      <c r="O127" s="63">
        <f t="shared" si="139"/>
        <v>68272.030119237257</v>
      </c>
      <c r="P127" s="63">
        <f t="shared" si="140"/>
        <v>0</v>
      </c>
      <c r="Q127" s="4">
        <f t="shared" si="141"/>
        <v>338.82941384548485</v>
      </c>
      <c r="R127" s="4">
        <f t="shared" si="148"/>
        <v>-8765.2991919747583</v>
      </c>
      <c r="S127" s="4">
        <f t="shared" si="142"/>
        <v>-15286.82515943989</v>
      </c>
      <c r="T127" s="63">
        <f t="shared" si="143"/>
        <v>531.06073500280763</v>
      </c>
      <c r="U127" s="4">
        <f t="shared" si="144"/>
        <v>45089.795916670904</v>
      </c>
      <c r="V127" s="123"/>
      <c r="W127" s="63">
        <f t="shared" ca="1" si="145"/>
        <v>2194419.0112879747</v>
      </c>
      <c r="X127" s="4">
        <f t="shared" si="149"/>
        <v>0</v>
      </c>
      <c r="Y127" s="4">
        <f t="shared" ca="1" si="150"/>
        <v>10890.751395959802</v>
      </c>
      <c r="Z127" s="4">
        <f t="shared" si="151"/>
        <v>0</v>
      </c>
      <c r="AA127" s="4">
        <f t="shared" ca="1" si="146"/>
        <v>630384.22044002952</v>
      </c>
      <c r="AB127" s="4">
        <f ca="1">-SUM(W127:AA127)*IFERROR(IF(C127&lt;$F$8,IF($F$23="yes",M46/SUM(M46:$M$56),L46/SUM(L46:$L$56)),IF($F$23="yes",M73/SUM(M73:$M$83),L73/SUM(L73:$L$83))),0)</f>
        <v>-301291.81428047642</v>
      </c>
      <c r="AC127" s="4">
        <f t="shared" ca="1" si="147"/>
        <v>2534402.1688434877</v>
      </c>
      <c r="AD127" s="123"/>
      <c r="AE127" s="162"/>
      <c r="AF127" s="163"/>
      <c r="AG127" s="162"/>
      <c r="AH127" s="163"/>
      <c r="AI127" s="163"/>
      <c r="AJ127" s="163"/>
      <c r="AK127" s="163"/>
      <c r="AL127" s="123"/>
      <c r="AM127" s="70"/>
      <c r="AN127" s="70"/>
      <c r="AO127" s="70"/>
      <c r="AP127" s="22"/>
      <c r="AQ127" s="124"/>
      <c r="AT127" s="125"/>
      <c r="AV127" s="4"/>
    </row>
    <row r="128" spans="1:48" s="2" customFormat="1" outlineLevel="1" x14ac:dyDescent="0.55000000000000004">
      <c r="A128" s="9"/>
      <c r="B128" s="1" t="s">
        <v>18</v>
      </c>
      <c r="C128" s="3">
        <v>8</v>
      </c>
      <c r="D128" s="13"/>
      <c r="E128" s="63">
        <f t="shared" ca="1" si="130"/>
        <v>-1806040.6719195137</v>
      </c>
      <c r="F128" s="63">
        <f t="shared" si="131"/>
        <v>0</v>
      </c>
      <c r="G128" s="63">
        <f t="shared" si="132"/>
        <v>0</v>
      </c>
      <c r="H128" s="63">
        <f t="shared" ca="1" si="133"/>
        <v>-4498.2681423725498</v>
      </c>
      <c r="I128" s="63">
        <f t="shared" si="134"/>
        <v>-186253.09100580279</v>
      </c>
      <c r="J128" s="63">
        <f t="shared" ca="1" si="135"/>
        <v>0</v>
      </c>
      <c r="K128" s="63">
        <f t="shared" si="136"/>
        <v>0</v>
      </c>
      <c r="L128" s="63">
        <f t="shared" si="137"/>
        <v>0</v>
      </c>
      <c r="M128" s="63">
        <f t="shared" ca="1" si="138"/>
        <v>-1996792.0310676892</v>
      </c>
      <c r="N128" s="123"/>
      <c r="O128" s="63">
        <f t="shared" si="139"/>
        <v>45089.795916670904</v>
      </c>
      <c r="P128" s="63">
        <f t="shared" si="140"/>
        <v>0</v>
      </c>
      <c r="Q128" s="4">
        <f t="shared" si="141"/>
        <v>112.30422197661314</v>
      </c>
      <c r="R128" s="4">
        <f t="shared" si="148"/>
        <v>-5587.5927301740885</v>
      </c>
      <c r="S128" s="4">
        <f t="shared" si="142"/>
        <v>0</v>
      </c>
      <c r="T128" s="63">
        <f t="shared" si="143"/>
        <v>0</v>
      </c>
      <c r="U128" s="4">
        <f t="shared" si="144"/>
        <v>39614.50740847343</v>
      </c>
      <c r="V128" s="123"/>
      <c r="W128" s="63">
        <f t="shared" ca="1" si="145"/>
        <v>2534402.1688434877</v>
      </c>
      <c r="X128" s="4">
        <f t="shared" si="149"/>
        <v>0</v>
      </c>
      <c r="Y128" s="4">
        <f t="shared" ca="1" si="150"/>
        <v>12578.064542949587</v>
      </c>
      <c r="Z128" s="4">
        <f t="shared" si="151"/>
        <v>0</v>
      </c>
      <c r="AA128" s="4">
        <f t="shared" si="146"/>
        <v>0</v>
      </c>
      <c r="AB128" s="4">
        <f ca="1">-SUM(W128:AA128)*IFERROR(IF(C128&lt;$F$8,IF($F$23="yes",M47/SUM(M47:$M$56),L47/SUM(L47:$L$56)),IF($F$23="yes",M74/SUM(M74:$M$83),L74/SUM(L74:$L$83))),0)</f>
        <v>-319686.47497042647</v>
      </c>
      <c r="AC128" s="4">
        <f t="shared" ca="1" si="147"/>
        <v>2227293.758416011</v>
      </c>
      <c r="AD128" s="123"/>
      <c r="AE128" s="162"/>
      <c r="AF128" s="163"/>
      <c r="AG128" s="162"/>
      <c r="AH128" s="163"/>
      <c r="AI128" s="163"/>
      <c r="AJ128" s="163"/>
      <c r="AK128" s="163"/>
      <c r="AL128" s="123"/>
      <c r="AM128" s="70"/>
      <c r="AN128" s="70"/>
      <c r="AO128" s="70"/>
      <c r="AP128" s="22"/>
      <c r="AQ128" s="124"/>
      <c r="AT128" s="125"/>
      <c r="AV128" s="4"/>
    </row>
    <row r="129" spans="1:48" s="2" customFormat="1" outlineLevel="1" x14ac:dyDescent="0.55000000000000004">
      <c r="A129" s="9"/>
      <c r="B129" s="1" t="s">
        <v>19</v>
      </c>
      <c r="C129" s="3">
        <v>9</v>
      </c>
      <c r="D129" s="13"/>
      <c r="E129" s="63">
        <f t="shared" ref="E129:E136" ca="1" si="152">IF(C129=1,0,M128)</f>
        <v>-1996792.0310676892</v>
      </c>
      <c r="F129" s="63">
        <f t="shared" si="131"/>
        <v>0</v>
      </c>
      <c r="G129" s="63">
        <f t="shared" si="132"/>
        <v>911250.00000000012</v>
      </c>
      <c r="H129" s="63">
        <f t="shared" ref="H129:H136" ca="1" si="153">SUM(E129:G129)*((1+IF($C129&lt;=$F$8,$F$17,$G$17))^(1/4)-1)</f>
        <v>-2703.7370816064276</v>
      </c>
      <c r="I129" s="63">
        <f t="shared" si="134"/>
        <v>-181692.91733522393</v>
      </c>
      <c r="J129" s="63">
        <f t="shared" ca="1" si="135"/>
        <v>-9594.0798583290671</v>
      </c>
      <c r="K129" s="63">
        <f t="shared" si="136"/>
        <v>0</v>
      </c>
      <c r="L129" s="63">
        <f t="shared" si="137"/>
        <v>0</v>
      </c>
      <c r="M129" s="63">
        <f t="shared" ref="M129:M136" ca="1" si="154">SUM(E129:L129)</f>
        <v>-1279532.7653428484</v>
      </c>
      <c r="N129" s="123"/>
      <c r="O129" s="63">
        <f t="shared" ref="O129:O136" si="155">IF(C129=1,0,U128)</f>
        <v>39614.50740847343</v>
      </c>
      <c r="P129" s="63">
        <f t="shared" si="140"/>
        <v>0</v>
      </c>
      <c r="Q129" s="4">
        <f t="shared" ref="Q129:Q136" si="156">SUM(O129:P129)*((1+IF($C129&lt;=$F$8,$F$17,$G$17))^(1/4)-1)</f>
        <v>98.66703414930555</v>
      </c>
      <c r="R129" s="4">
        <f t="shared" si="148"/>
        <v>-5450.7875200567214</v>
      </c>
      <c r="S129" s="4">
        <f t="shared" si="142"/>
        <v>0</v>
      </c>
      <c r="T129" s="63">
        <f t="shared" si="143"/>
        <v>0</v>
      </c>
      <c r="U129" s="4">
        <f t="shared" si="144"/>
        <v>34262.386922566016</v>
      </c>
      <c r="V129" s="123"/>
      <c r="W129" s="63">
        <f t="shared" ca="1" si="145"/>
        <v>2227293.758416011</v>
      </c>
      <c r="X129" s="4">
        <f t="shared" si="149"/>
        <v>0</v>
      </c>
      <c r="Y129" s="4">
        <f t="shared" ref="Y129:Y132" ca="1" si="157">SUM(W129:X129)*((1+$F$17)^(1/4)-1)</f>
        <v>11053.906516442627</v>
      </c>
      <c r="Z129" s="4">
        <f t="shared" si="151"/>
        <v>0</v>
      </c>
      <c r="AA129" s="4">
        <f t="shared" si="146"/>
        <v>0</v>
      </c>
      <c r="AB129" s="4">
        <f ca="1">-SUM(W129:AA129)*IFERROR(IF(C129&lt;$F$8,IF($F$23="yes",M48/SUM(M48:$M$56),L48/SUM(L48:$L$56)),IF($F$23="yes",M75/SUM(M75:$M$83),L75/SUM(L75:$L$83))),0)</f>
        <v>-311375.82430269232</v>
      </c>
      <c r="AC129" s="4">
        <f t="shared" ca="1" si="147"/>
        <v>1926971.8406297611</v>
      </c>
      <c r="AD129" s="123"/>
      <c r="AE129" s="162"/>
      <c r="AF129" s="163"/>
      <c r="AG129" s="162"/>
      <c r="AH129" s="163"/>
      <c r="AI129" s="163"/>
      <c r="AJ129" s="163"/>
      <c r="AK129" s="163"/>
      <c r="AL129" s="123"/>
      <c r="AM129" s="70"/>
      <c r="AN129" s="70"/>
      <c r="AO129" s="70"/>
      <c r="AP129" s="22"/>
      <c r="AQ129" s="124"/>
      <c r="AT129" s="125"/>
      <c r="AV129" s="4"/>
    </row>
    <row r="130" spans="1:48" s="2" customFormat="1" outlineLevel="1" x14ac:dyDescent="0.55000000000000004">
      <c r="A130" s="9"/>
      <c r="B130" s="1" t="s">
        <v>20</v>
      </c>
      <c r="C130" s="3">
        <v>10</v>
      </c>
      <c r="D130" s="13"/>
      <c r="E130" s="63">
        <f t="shared" ca="1" si="152"/>
        <v>-1279532.7653428484</v>
      </c>
      <c r="F130" s="63">
        <f t="shared" si="131"/>
        <v>0</v>
      </c>
      <c r="G130" s="63">
        <f t="shared" si="132"/>
        <v>0</v>
      </c>
      <c r="H130" s="63">
        <f t="shared" ca="1" si="153"/>
        <v>-3186.9057906355324</v>
      </c>
      <c r="I130" s="63">
        <f t="shared" si="134"/>
        <v>-177244.31006011032</v>
      </c>
      <c r="J130" s="63">
        <f t="shared" ca="1" si="135"/>
        <v>0</v>
      </c>
      <c r="K130" s="63">
        <f t="shared" si="136"/>
        <v>0</v>
      </c>
      <c r="L130" s="63">
        <f t="shared" si="137"/>
        <v>0</v>
      </c>
      <c r="M130" s="63">
        <f t="shared" ca="1" si="154"/>
        <v>-1459963.9811935944</v>
      </c>
      <c r="N130" s="123"/>
      <c r="O130" s="63">
        <f t="shared" si="155"/>
        <v>34262.386922566016</v>
      </c>
      <c r="P130" s="63">
        <f t="shared" si="140"/>
        <v>0</v>
      </c>
      <c r="Q130" s="4">
        <f t="shared" si="156"/>
        <v>85.336618367301639</v>
      </c>
      <c r="R130" s="4">
        <f t="shared" ref="R130:R136" si="158">U130-SUM(S130:T130,O130:Q130)</f>
        <v>-5317.3293018033</v>
      </c>
      <c r="S130" s="4">
        <f t="shared" si="142"/>
        <v>0</v>
      </c>
      <c r="T130" s="63">
        <f t="shared" si="143"/>
        <v>0</v>
      </c>
      <c r="U130" s="4">
        <f t="shared" si="144"/>
        <v>29030.394239130015</v>
      </c>
      <c r="V130" s="123"/>
      <c r="W130" s="63">
        <f t="shared" ca="1" si="145"/>
        <v>1926971.8406297611</v>
      </c>
      <c r="X130" s="4">
        <f t="shared" si="149"/>
        <v>0</v>
      </c>
      <c r="Y130" s="4">
        <f t="shared" ca="1" si="157"/>
        <v>9563.429388536124</v>
      </c>
      <c r="Z130" s="4">
        <f t="shared" si="151"/>
        <v>0</v>
      </c>
      <c r="AA130" s="4">
        <f t="shared" si="146"/>
        <v>0</v>
      </c>
      <c r="AB130" s="4">
        <f ca="1">-SUM(W130:AA130)*IFERROR(IF(C130&lt;$F$8,IF($F$23="yes",M49/SUM(M49:$M$56),L49/SUM(L49:$L$56)),IF($F$23="yes",M76/SUM(M76:$M$83),L76/SUM(L76:$L$83))),0)</f>
        <v>-303281.21941708721</v>
      </c>
      <c r="AC130" s="4">
        <f t="shared" ca="1" si="147"/>
        <v>1633254.05060121</v>
      </c>
      <c r="AD130" s="123"/>
      <c r="AE130" s="162"/>
      <c r="AF130" s="163"/>
      <c r="AG130" s="162"/>
      <c r="AH130" s="163"/>
      <c r="AI130" s="163"/>
      <c r="AJ130" s="163"/>
      <c r="AK130" s="163"/>
      <c r="AL130" s="123"/>
      <c r="AM130" s="70"/>
      <c r="AN130" s="70"/>
      <c r="AO130" s="70"/>
      <c r="AP130" s="22"/>
      <c r="AQ130" s="124"/>
      <c r="AT130" s="125"/>
      <c r="AV130" s="4"/>
    </row>
    <row r="131" spans="1:48" s="2" customFormat="1" outlineLevel="1" x14ac:dyDescent="0.55000000000000004">
      <c r="A131" s="9"/>
      <c r="B131" s="1" t="s">
        <v>21</v>
      </c>
      <c r="C131" s="3">
        <v>11</v>
      </c>
      <c r="D131" s="13"/>
      <c r="E131" s="63">
        <f t="shared" ca="1" si="152"/>
        <v>-1459963.9811935944</v>
      </c>
      <c r="F131" s="63">
        <f t="shared" si="131"/>
        <v>0</v>
      </c>
      <c r="G131" s="63">
        <f t="shared" si="132"/>
        <v>864487.65534853074</v>
      </c>
      <c r="H131" s="63">
        <f t="shared" ca="1" si="153"/>
        <v>-1483.1405669502433</v>
      </c>
      <c r="I131" s="63">
        <f t="shared" si="134"/>
        <v>-172904.5418693739</v>
      </c>
      <c r="J131" s="63">
        <f t="shared" ca="1" si="135"/>
        <v>-8634.6718724961665</v>
      </c>
      <c r="K131" s="63">
        <f t="shared" si="136"/>
        <v>0</v>
      </c>
      <c r="L131" s="63">
        <f t="shared" si="137"/>
        <v>0</v>
      </c>
      <c r="M131" s="63">
        <f t="shared" ca="1" si="154"/>
        <v>-778498.68015388388</v>
      </c>
      <c r="N131" s="123"/>
      <c r="O131" s="63">
        <f t="shared" si="155"/>
        <v>29030.394239130015</v>
      </c>
      <c r="P131" s="63">
        <f t="shared" si="140"/>
        <v>0</v>
      </c>
      <c r="Q131" s="4">
        <f t="shared" si="156"/>
        <v>72.305402417988148</v>
      </c>
      <c r="R131" s="4">
        <f t="shared" si="158"/>
        <v>-5187.1362560812231</v>
      </c>
      <c r="S131" s="4">
        <f t="shared" si="142"/>
        <v>0</v>
      </c>
      <c r="T131" s="63">
        <f t="shared" si="143"/>
        <v>0</v>
      </c>
      <c r="U131" s="4">
        <f t="shared" si="144"/>
        <v>23915.563385466779</v>
      </c>
      <c r="V131" s="123"/>
      <c r="W131" s="63">
        <f t="shared" ca="1" si="145"/>
        <v>1633254.05060121</v>
      </c>
      <c r="X131" s="4">
        <f t="shared" si="149"/>
        <v>0</v>
      </c>
      <c r="Y131" s="4">
        <f t="shared" ca="1" si="157"/>
        <v>8105.728094791777</v>
      </c>
      <c r="Z131" s="4">
        <f t="shared" si="151"/>
        <v>0</v>
      </c>
      <c r="AA131" s="4">
        <f t="shared" si="146"/>
        <v>0</v>
      </c>
      <c r="AB131" s="4">
        <f ca="1">-SUM(W131:AA131)*IFERROR(IF(C131&lt;$F$8,IF($F$23="yes",M50/SUM(M50:$M$56),L50/SUM(L50:$L$56)),IF($F$23="yes",M77/SUM(M77:$M$83),L77/SUM(L77:$L$83))),0)</f>
        <v>-295397.04393267533</v>
      </c>
      <c r="AC131" s="4">
        <f t="shared" ca="1" si="147"/>
        <v>1345962.7347633264</v>
      </c>
      <c r="AD131" s="123"/>
      <c r="AE131" s="162"/>
      <c r="AF131" s="163"/>
      <c r="AG131" s="162"/>
      <c r="AH131" s="163"/>
      <c r="AI131" s="163"/>
      <c r="AJ131" s="163"/>
      <c r="AK131" s="163"/>
      <c r="AL131" s="123"/>
      <c r="AM131" s="70"/>
      <c r="AN131" s="70"/>
      <c r="AO131" s="70"/>
      <c r="AP131" s="22"/>
      <c r="AQ131" s="124"/>
      <c r="AT131" s="125"/>
      <c r="AV131" s="4"/>
    </row>
    <row r="132" spans="1:48" s="2" customFormat="1" outlineLevel="1" x14ac:dyDescent="0.55000000000000004">
      <c r="A132" s="9"/>
      <c r="B132" s="1" t="s">
        <v>22</v>
      </c>
      <c r="C132" s="3">
        <v>12</v>
      </c>
      <c r="D132" s="13"/>
      <c r="E132" s="63">
        <f t="shared" ca="1" si="152"/>
        <v>-778498.68015388388</v>
      </c>
      <c r="F132" s="63">
        <f t="shared" si="131"/>
        <v>0</v>
      </c>
      <c r="G132" s="63">
        <f t="shared" si="132"/>
        <v>0</v>
      </c>
      <c r="H132" s="63">
        <f t="shared" ca="1" si="153"/>
        <v>-1938.9905588855727</v>
      </c>
      <c r="I132" s="63">
        <f t="shared" si="134"/>
        <v>-168670.95206474859</v>
      </c>
      <c r="J132" s="63">
        <f t="shared" ca="1" si="135"/>
        <v>0</v>
      </c>
      <c r="K132" s="63">
        <f t="shared" si="136"/>
        <v>0</v>
      </c>
      <c r="L132" s="63">
        <f t="shared" si="137"/>
        <v>0</v>
      </c>
      <c r="M132" s="63">
        <f t="shared" ca="1" si="154"/>
        <v>-949108.62277751812</v>
      </c>
      <c r="N132" s="123"/>
      <c r="O132" s="63">
        <f t="shared" si="155"/>
        <v>23915.563385466779</v>
      </c>
      <c r="P132" s="63">
        <f t="shared" si="140"/>
        <v>0</v>
      </c>
      <c r="Q132" s="4">
        <f t="shared" si="156"/>
        <v>59.565999014517686</v>
      </c>
      <c r="R132" s="4">
        <f t="shared" si="158"/>
        <v>-5060.1285619424561</v>
      </c>
      <c r="S132" s="4">
        <f t="shared" si="142"/>
        <v>0</v>
      </c>
      <c r="T132" s="63">
        <f t="shared" si="143"/>
        <v>0</v>
      </c>
      <c r="U132" s="4">
        <f t="shared" si="144"/>
        <v>18915.000822538841</v>
      </c>
      <c r="V132" s="123"/>
      <c r="W132" s="63">
        <f t="shared" ca="1" si="145"/>
        <v>1345962.7347633264</v>
      </c>
      <c r="X132" s="4">
        <f t="shared" si="149"/>
        <v>0</v>
      </c>
      <c r="Y132" s="4">
        <f t="shared" ca="1" si="157"/>
        <v>6679.9209527126732</v>
      </c>
      <c r="Z132" s="4">
        <f t="shared" si="151"/>
        <v>0</v>
      </c>
      <c r="AA132" s="4">
        <f t="shared" si="146"/>
        <v>0</v>
      </c>
      <c r="AB132" s="4">
        <f ca="1">-SUM(W132:AA132)*IFERROR(IF(C132&lt;$F$8,IF($F$23="yes",M51/SUM(M51:$M$56),L51/SUM(L51:$L$56)),IF($F$23="yes",M78/SUM(M78:$M$83),L78/SUM(L78:$L$83))),0)</f>
        <v>-287717.82747338375</v>
      </c>
      <c r="AC132" s="4">
        <f t="shared" ca="1" si="147"/>
        <v>1064924.8282426554</v>
      </c>
      <c r="AD132" s="123"/>
      <c r="AE132" s="162"/>
      <c r="AF132" s="163"/>
      <c r="AG132" s="162"/>
      <c r="AH132" s="163"/>
      <c r="AI132" s="163"/>
      <c r="AJ132" s="163"/>
      <c r="AK132" s="163"/>
      <c r="AL132" s="123"/>
      <c r="AM132" s="70"/>
      <c r="AN132" s="70"/>
      <c r="AO132" s="70"/>
      <c r="AP132" s="22"/>
      <c r="AQ132" s="124"/>
      <c r="AT132" s="125"/>
      <c r="AV132" s="4"/>
    </row>
    <row r="133" spans="1:48" s="2" customFormat="1" outlineLevel="1" x14ac:dyDescent="0.55000000000000004">
      <c r="A133" s="9"/>
      <c r="B133" s="1" t="s">
        <v>23</v>
      </c>
      <c r="C133" s="3">
        <v>13</v>
      </c>
      <c r="D133" s="13"/>
      <c r="E133" s="63">
        <f t="shared" ca="1" si="152"/>
        <v>-949108.62277751812</v>
      </c>
      <c r="F133" s="63">
        <f t="shared" si="131"/>
        <v>0</v>
      </c>
      <c r="G133" s="63">
        <f t="shared" si="132"/>
        <v>820125.00000000012</v>
      </c>
      <c r="H133" s="63">
        <f t="shared" ca="1" si="153"/>
        <v>-321.2568411381626</v>
      </c>
      <c r="I133" s="63">
        <f t="shared" si="134"/>
        <v>-164540.94493534428</v>
      </c>
      <c r="J133" s="63">
        <f t="shared" ca="1" si="135"/>
        <v>-7771.2046852465937</v>
      </c>
      <c r="K133" s="63">
        <f t="shared" si="136"/>
        <v>0</v>
      </c>
      <c r="L133" s="63">
        <f t="shared" si="137"/>
        <v>0</v>
      </c>
      <c r="M133" s="63">
        <f t="shared" ca="1" si="154"/>
        <v>-301617.02923924703</v>
      </c>
      <c r="N133" s="123"/>
      <c r="O133" s="63">
        <f t="shared" si="155"/>
        <v>18915.000822538841</v>
      </c>
      <c r="P133" s="63">
        <f t="shared" si="140"/>
        <v>0</v>
      </c>
      <c r="Q133" s="4">
        <f t="shared" si="156"/>
        <v>47.111201279064467</v>
      </c>
      <c r="R133" s="4">
        <f t="shared" si="158"/>
        <v>-4936.2283480603292</v>
      </c>
      <c r="S133" s="4">
        <f t="shared" si="142"/>
        <v>0</v>
      </c>
      <c r="T133" s="63">
        <f t="shared" si="143"/>
        <v>0</v>
      </c>
      <c r="U133" s="4">
        <f t="shared" si="144"/>
        <v>14025.883675757577</v>
      </c>
      <c r="V133" s="123"/>
      <c r="W133" s="63">
        <f t="shared" ca="1" si="145"/>
        <v>1064924.8282426554</v>
      </c>
      <c r="X133" s="4">
        <f t="shared" si="149"/>
        <v>0</v>
      </c>
      <c r="Y133" s="4">
        <f t="shared" ref="Y133:Y136" ca="1" si="159">SUM(W133:X133)*((1+$F$17)^(1/4)-1)</f>
        <v>5285.149053174131</v>
      </c>
      <c r="Z133" s="4">
        <f t="shared" si="151"/>
        <v>0</v>
      </c>
      <c r="AA133" s="4">
        <f t="shared" si="146"/>
        <v>0</v>
      </c>
      <c r="AB133" s="4">
        <f ca="1">-SUM(W133:AA133)*IFERROR(IF(C133&lt;$F$8,IF($F$23="yes",M52/SUM(M52:$M$56),L52/SUM(L52:$L$56)),IF($F$23="yes",M79/SUM(M79:$M$83),L79/SUM(L79:$L$83))),0)</f>
        <v>-280238.24187242298</v>
      </c>
      <c r="AC133" s="4">
        <f t="shared" ca="1" si="147"/>
        <v>789971.73542340647</v>
      </c>
      <c r="AD133" s="123"/>
      <c r="AE133" s="162"/>
      <c r="AF133" s="163"/>
      <c r="AG133" s="162"/>
      <c r="AH133" s="163"/>
      <c r="AI133" s="163"/>
      <c r="AJ133" s="163"/>
      <c r="AK133" s="163"/>
      <c r="AL133" s="123"/>
      <c r="AM133" s="70"/>
      <c r="AN133" s="70"/>
      <c r="AO133" s="70"/>
      <c r="AT133" s="125"/>
      <c r="AV133" s="4"/>
    </row>
    <row r="134" spans="1:48" s="2" customFormat="1" outlineLevel="1" x14ac:dyDescent="0.55000000000000004">
      <c r="A134" s="9"/>
      <c r="B134" s="1" t="s">
        <v>24</v>
      </c>
      <c r="C134" s="3">
        <v>14</v>
      </c>
      <c r="D134" s="13"/>
      <c r="E134" s="63">
        <f t="shared" ca="1" si="152"/>
        <v>-301617.02923924703</v>
      </c>
      <c r="F134" s="63">
        <f t="shared" si="131"/>
        <v>0</v>
      </c>
      <c r="G134" s="63">
        <f t="shared" si="132"/>
        <v>0</v>
      </c>
      <c r="H134" s="63">
        <f t="shared" ca="1" si="153"/>
        <v>-751.23129557318111</v>
      </c>
      <c r="I134" s="63">
        <f t="shared" si="134"/>
        <v>-160511.98817182321</v>
      </c>
      <c r="J134" s="63">
        <f t="shared" ca="1" si="135"/>
        <v>0</v>
      </c>
      <c r="K134" s="63">
        <f t="shared" si="136"/>
        <v>0</v>
      </c>
      <c r="L134" s="63">
        <f t="shared" si="137"/>
        <v>0</v>
      </c>
      <c r="M134" s="63">
        <f t="shared" ca="1" si="154"/>
        <v>-462880.24870664341</v>
      </c>
      <c r="N134" s="123"/>
      <c r="O134" s="63">
        <f t="shared" si="155"/>
        <v>14025.883675757577</v>
      </c>
      <c r="P134" s="63">
        <f t="shared" si="140"/>
        <v>0</v>
      </c>
      <c r="Q134" s="4">
        <f t="shared" si="156"/>
        <v>34.93397833628368</v>
      </c>
      <c r="R134" s="4">
        <f t="shared" si="158"/>
        <v>-4815.3596451546928</v>
      </c>
      <c r="S134" s="4">
        <f t="shared" si="142"/>
        <v>0</v>
      </c>
      <c r="T134" s="63">
        <f t="shared" si="143"/>
        <v>0</v>
      </c>
      <c r="U134" s="4">
        <f t="shared" si="144"/>
        <v>9245.4580089391675</v>
      </c>
      <c r="V134" s="123"/>
      <c r="W134" s="63">
        <f t="shared" ca="1" si="145"/>
        <v>789971.73542340647</v>
      </c>
      <c r="X134" s="4">
        <f t="shared" si="149"/>
        <v>0</v>
      </c>
      <c r="Y134" s="4">
        <f t="shared" ca="1" si="159"/>
        <v>3920.5756676714395</v>
      </c>
      <c r="Z134" s="4">
        <f t="shared" si="151"/>
        <v>0</v>
      </c>
      <c r="AA134" s="4">
        <f t="shared" si="146"/>
        <v>0</v>
      </c>
      <c r="AB134" s="4">
        <f ca="1">-SUM(W134:AA134)*IFERROR(IF(C134&lt;$F$8,IF($F$23="yes",M53/SUM(M53:$M$56),L53/SUM(L53:$L$56)),IF($F$23="yes",M80/SUM(M80:$M$83),L80/SUM(L80:$L$83))),0)</f>
        <v>-272953.09747537848</v>
      </c>
      <c r="AC134" s="4">
        <f t="shared" ca="1" si="147"/>
        <v>520939.21361569938</v>
      </c>
      <c r="AD134" s="123"/>
      <c r="AE134" s="162"/>
      <c r="AF134" s="163"/>
      <c r="AG134" s="162"/>
      <c r="AH134" s="163"/>
      <c r="AI134" s="163"/>
      <c r="AJ134" s="163"/>
      <c r="AK134" s="163"/>
      <c r="AL134" s="123"/>
      <c r="AM134" s="70"/>
      <c r="AN134" s="70"/>
      <c r="AO134" s="70"/>
      <c r="AT134" s="125"/>
      <c r="AV134" s="4"/>
    </row>
    <row r="135" spans="1:48" s="2" customFormat="1" outlineLevel="1" x14ac:dyDescent="0.55000000000000004">
      <c r="A135" s="9"/>
      <c r="B135" s="1" t="s">
        <v>25</v>
      </c>
      <c r="C135" s="3">
        <v>15</v>
      </c>
      <c r="D135" s="13"/>
      <c r="E135" s="63">
        <f t="shared" ca="1" si="152"/>
        <v>-462880.24870664341</v>
      </c>
      <c r="F135" s="63">
        <f t="shared" si="131"/>
        <v>0</v>
      </c>
      <c r="G135" s="63">
        <f t="shared" si="132"/>
        <v>778038.88981367764</v>
      </c>
      <c r="H135" s="63">
        <f t="shared" ca="1" si="153"/>
        <v>784.95910813484409</v>
      </c>
      <c r="I135" s="63">
        <f t="shared" si="134"/>
        <v>-156581.61131923445</v>
      </c>
      <c r="J135" s="63">
        <f t="shared" ca="1" si="135"/>
        <v>-6994.0842167218816</v>
      </c>
      <c r="K135" s="63">
        <f t="shared" si="136"/>
        <v>0</v>
      </c>
      <c r="L135" s="63">
        <f t="shared" si="137"/>
        <v>0</v>
      </c>
      <c r="M135" s="63">
        <f t="shared" ca="1" si="154"/>
        <v>152367.90467921275</v>
      </c>
      <c r="N135" s="123"/>
      <c r="O135" s="63">
        <f t="shared" si="155"/>
        <v>9245.4580089391675</v>
      </c>
      <c r="P135" s="63">
        <f t="shared" si="140"/>
        <v>0</v>
      </c>
      <c r="Q135" s="4">
        <f t="shared" si="156"/>
        <v>23.027471014289315</v>
      </c>
      <c r="R135" s="4">
        <f t="shared" si="158"/>
        <v>-4697.4483395770339</v>
      </c>
      <c r="S135" s="4">
        <f t="shared" si="142"/>
        <v>0</v>
      </c>
      <c r="T135" s="63">
        <f t="shared" si="143"/>
        <v>0</v>
      </c>
      <c r="U135" s="4">
        <f t="shared" si="144"/>
        <v>4571.0371403764229</v>
      </c>
      <c r="V135" s="123"/>
      <c r="W135" s="63">
        <f t="shared" ca="1" si="145"/>
        <v>520939.21361569938</v>
      </c>
      <c r="X135" s="4">
        <f t="shared" si="149"/>
        <v>0</v>
      </c>
      <c r="Y135" s="4">
        <f t="shared" ca="1" si="159"/>
        <v>2585.3856709733245</v>
      </c>
      <c r="Z135" s="4">
        <f t="shared" si="151"/>
        <v>0</v>
      </c>
      <c r="AA135" s="4">
        <f t="shared" si="146"/>
        <v>0</v>
      </c>
      <c r="AB135" s="4">
        <f ca="1">-SUM(W135:AA135)*IFERROR(IF(C135&lt;$F$8,IF($F$23="yes",M54/SUM(M54:$M$56),L54/SUM(L54:$L$56)),IF($F$23="yes",M81/SUM(M81:$M$83),L81/SUM(L81:$L$83))),0)</f>
        <v>-265857.33953940787</v>
      </c>
      <c r="AC135" s="4">
        <f t="shared" ca="1" si="147"/>
        <v>257667.25974726485</v>
      </c>
      <c r="AD135" s="123"/>
      <c r="AE135" s="162"/>
      <c r="AF135" s="163"/>
      <c r="AG135" s="162"/>
      <c r="AH135" s="163"/>
      <c r="AI135" s="163"/>
      <c r="AJ135" s="163"/>
      <c r="AK135" s="163"/>
      <c r="AL135" s="123"/>
      <c r="AM135" s="70"/>
      <c r="AN135" s="70"/>
      <c r="AO135" s="70"/>
      <c r="AT135" s="125"/>
      <c r="AV135" s="4"/>
    </row>
    <row r="136" spans="1:48" s="2" customFormat="1" outlineLevel="1" x14ac:dyDescent="0.55000000000000004">
      <c r="A136" s="9"/>
      <c r="B136" s="1" t="s">
        <v>26</v>
      </c>
      <c r="C136" s="3">
        <v>16</v>
      </c>
      <c r="D136" s="13"/>
      <c r="E136" s="63">
        <f t="shared" ca="1" si="152"/>
        <v>152367.90467921275</v>
      </c>
      <c r="F136" s="63">
        <f t="shared" si="131"/>
        <v>0</v>
      </c>
      <c r="G136" s="63">
        <f t="shared" si="132"/>
        <v>0</v>
      </c>
      <c r="H136" s="63">
        <f t="shared" ca="1" si="153"/>
        <v>379.49958835096743</v>
      </c>
      <c r="I136" s="63">
        <f t="shared" si="134"/>
        <v>-152747.40426756509</v>
      </c>
      <c r="J136" s="63">
        <f t="shared" ca="1" si="135"/>
        <v>0</v>
      </c>
      <c r="K136" s="63">
        <f t="shared" si="136"/>
        <v>0</v>
      </c>
      <c r="L136" s="63">
        <f t="shared" si="137"/>
        <v>0</v>
      </c>
      <c r="M136" s="63">
        <f t="shared" ca="1" si="154"/>
        <v>-1.3678800314664841E-9</v>
      </c>
      <c r="N136" s="123"/>
      <c r="O136" s="63">
        <f t="shared" si="155"/>
        <v>4571.0371403764229</v>
      </c>
      <c r="P136" s="63">
        <f t="shared" si="140"/>
        <v>0</v>
      </c>
      <c r="Q136" s="4">
        <f t="shared" si="156"/>
        <v>11.384987650529125</v>
      </c>
      <c r="R136" s="4">
        <f t="shared" si="158"/>
        <v>-4582.4221280269521</v>
      </c>
      <c r="S136" s="4">
        <f t="shared" si="142"/>
        <v>0</v>
      </c>
      <c r="T136" s="63">
        <f t="shared" si="143"/>
        <v>0</v>
      </c>
      <c r="U136" s="4">
        <f t="shared" si="144"/>
        <v>0</v>
      </c>
      <c r="V136" s="123"/>
      <c r="W136" s="63">
        <f t="shared" ca="1" si="145"/>
        <v>257667.25974726485</v>
      </c>
      <c r="X136" s="4">
        <f t="shared" si="149"/>
        <v>0</v>
      </c>
      <c r="Y136" s="4">
        <f t="shared" ca="1" si="159"/>
        <v>1278.7849787806108</v>
      </c>
      <c r="Z136" s="4">
        <f t="shared" si="151"/>
        <v>0</v>
      </c>
      <c r="AA136" s="4">
        <f t="shared" si="146"/>
        <v>0</v>
      </c>
      <c r="AB136" s="4">
        <f ca="1">-SUM(W136:AA136)*IFERROR(IF(C136&lt;$F$8,IF($F$23="yes",M55/SUM(M55:$M$56),L55/SUM(L55:$L$56)),IF($F$23="yes",M82/SUM(M82:$M$83),L82/SUM(L82:$L$83))),0)</f>
        <v>-258946.04472604545</v>
      </c>
      <c r="AC136" s="4">
        <f t="shared" ca="1" si="147"/>
        <v>0</v>
      </c>
      <c r="AD136" s="123"/>
      <c r="AE136" s="162"/>
      <c r="AF136" s="163"/>
      <c r="AG136" s="162"/>
      <c r="AH136" s="163"/>
      <c r="AI136" s="163"/>
      <c r="AJ136" s="163"/>
      <c r="AK136" s="163"/>
      <c r="AL136" s="123"/>
      <c r="AM136" s="70"/>
      <c r="AN136" s="70"/>
      <c r="AO136" s="70"/>
      <c r="AT136" s="125"/>
      <c r="AV136" s="4"/>
    </row>
    <row r="137" spans="1:48" s="2" customFormat="1" outlineLevel="1" x14ac:dyDescent="0.55000000000000004">
      <c r="A137"/>
      <c r="B137" s="8"/>
      <c r="C137" s="6"/>
      <c r="D137" s="13"/>
      <c r="E137" s="7"/>
      <c r="F137" s="7"/>
      <c r="G137" s="7"/>
      <c r="H137" s="7"/>
      <c r="I137" s="7"/>
      <c r="J137" s="7"/>
      <c r="K137" s="7"/>
      <c r="L137" s="7"/>
      <c r="M137" s="7"/>
      <c r="O137" s="7"/>
      <c r="P137" s="7"/>
      <c r="Q137" s="7"/>
      <c r="R137" s="7"/>
      <c r="S137" s="7"/>
      <c r="T137" s="7"/>
      <c r="U137" s="7"/>
      <c r="W137" s="7"/>
      <c r="X137" s="7"/>
      <c r="Y137" s="7"/>
      <c r="Z137" s="7"/>
      <c r="AA137" s="7"/>
      <c r="AB137" s="7"/>
      <c r="AC137" s="7"/>
      <c r="AE137" s="166"/>
      <c r="AF137" s="166"/>
      <c r="AG137" s="166"/>
      <c r="AH137" s="166"/>
      <c r="AI137" s="166"/>
      <c r="AJ137" s="166"/>
      <c r="AK137" s="166"/>
      <c r="AM137" s="70"/>
      <c r="AN137" s="70"/>
      <c r="AO137" s="70"/>
    </row>
    <row r="138" spans="1:48" s="2" customFormat="1" outlineLevel="1" x14ac:dyDescent="0.55000000000000004">
      <c r="A138" s="9"/>
      <c r="B138" s="4"/>
      <c r="C138" s="4"/>
      <c r="D138" s="13"/>
      <c r="AE138" s="164"/>
      <c r="AF138" s="164"/>
      <c r="AG138" s="164"/>
      <c r="AH138" s="164"/>
      <c r="AI138" s="164"/>
      <c r="AJ138" s="164"/>
      <c r="AK138" s="164"/>
      <c r="AM138" s="70"/>
      <c r="AN138" s="70"/>
      <c r="AO138" s="70"/>
    </row>
    <row r="139" spans="1:48" s="2" customFormat="1" outlineLevel="1" x14ac:dyDescent="0.55000000000000004">
      <c r="A139" s="9"/>
      <c r="B139" s="24"/>
      <c r="C139" s="24"/>
      <c r="D139" s="13"/>
      <c r="F139" s="52">
        <f t="shared" ref="F139:L139" ca="1" si="160">SUM(F120:F136)</f>
        <v>-4316362.5334659088</v>
      </c>
      <c r="G139" s="52">
        <f t="shared" si="160"/>
        <v>8110116.6069370378</v>
      </c>
      <c r="H139" s="52">
        <f t="shared" ca="1" si="160"/>
        <v>-76643.354239245033</v>
      </c>
      <c r="I139" s="52">
        <f t="shared" si="160"/>
        <v>-2965464.7613555682</v>
      </c>
      <c r="J139" s="52">
        <f t="shared" ca="1" si="160"/>
        <v>-123090.09888302026</v>
      </c>
      <c r="K139" s="52">
        <f t="shared" ca="1" si="160"/>
        <v>-615097.39528058958</v>
      </c>
      <c r="L139" s="52">
        <f t="shared" ca="1" si="160"/>
        <v>-13458.463712706929</v>
      </c>
      <c r="P139" s="52">
        <f t="shared" ref="P139:T139" si="161">SUM(P120:P136)</f>
        <v>128683.9098865398</v>
      </c>
      <c r="Q139" s="52">
        <f t="shared" si="161"/>
        <v>3922.1373850911677</v>
      </c>
      <c r="R139" s="52">
        <f t="shared" si="161"/>
        <v>-117850.2828471939</v>
      </c>
      <c r="S139" s="52">
        <f t="shared" si="161"/>
        <v>-15286.82515943989</v>
      </c>
      <c r="T139" s="52">
        <f t="shared" si="161"/>
        <v>531.06073500280763</v>
      </c>
      <c r="X139" s="52">
        <f t="shared" ref="X139:AB139" ca="1" si="162">SUM(X120:X136)</f>
        <v>4187678.6235793689</v>
      </c>
      <c r="Y139" s="52">
        <f t="shared" ca="1" si="162"/>
        <v>170370.59684746663</v>
      </c>
      <c r="Z139" s="52">
        <f t="shared" si="162"/>
        <v>0</v>
      </c>
      <c r="AA139" s="52">
        <f t="shared" ca="1" si="162"/>
        <v>630384.22044002952</v>
      </c>
      <c r="AB139" s="52">
        <f t="shared" ca="1" si="162"/>
        <v>-4988433.4408668671</v>
      </c>
      <c r="AE139" s="164"/>
      <c r="AF139" s="167"/>
      <c r="AG139" s="167"/>
      <c r="AH139" s="167"/>
      <c r="AI139" s="167"/>
      <c r="AJ139" s="167"/>
      <c r="AK139" s="164"/>
      <c r="AM139" s="70"/>
      <c r="AN139" s="70"/>
      <c r="AO139" s="70"/>
    </row>
    <row r="140" spans="1:48" s="2" customFormat="1" x14ac:dyDescent="0.55000000000000004">
      <c r="A140" s="9"/>
      <c r="B140" s="24"/>
      <c r="C140" s="24"/>
      <c r="D140" s="4"/>
      <c r="E140" s="4"/>
      <c r="AD140" s="164"/>
      <c r="AE140" s="164"/>
      <c r="AF140" s="164"/>
      <c r="AG140" s="164"/>
      <c r="AH140" s="164"/>
      <c r="AI140" s="164"/>
      <c r="AJ140" s="164"/>
      <c r="AL140" s="70"/>
      <c r="AM140" s="70"/>
      <c r="AN140" s="70"/>
    </row>
    <row r="141" spans="1:48" s="2" customFormat="1" x14ac:dyDescent="0.55000000000000004">
      <c r="A141" s="9"/>
      <c r="B141" s="24"/>
      <c r="C141" s="24"/>
      <c r="D141" s="4"/>
      <c r="E141" s="4"/>
      <c r="AL141" s="70"/>
      <c r="AM141" s="70"/>
      <c r="AN141" s="70"/>
    </row>
    <row r="142" spans="1:48" s="70" customFormat="1" ht="18.3" x14ac:dyDescent="0.55000000000000004">
      <c r="B142" s="144" t="s">
        <v>168</v>
      </c>
      <c r="AG142" s="75"/>
      <c r="AK142" s="55"/>
    </row>
    <row r="143" spans="1:48" s="70" customFormat="1" outlineLevel="1" x14ac:dyDescent="0.55000000000000004">
      <c r="B143" s="55"/>
      <c r="C143" s="55"/>
      <c r="D143" s="55"/>
      <c r="E143" s="55"/>
      <c r="F143" s="55"/>
      <c r="G143" s="55"/>
      <c r="H143" s="55"/>
      <c r="I143" s="55"/>
      <c r="J143" s="55"/>
      <c r="K143" s="55"/>
      <c r="L143" s="55"/>
      <c r="M143" s="55"/>
      <c r="N143" s="55"/>
      <c r="O143" s="55"/>
      <c r="P143" s="55"/>
      <c r="Q143" s="55"/>
      <c r="R143" s="55"/>
      <c r="S143" s="55"/>
      <c r="T143" s="55"/>
      <c r="U143" s="55"/>
      <c r="V143" s="55"/>
      <c r="AF143" s="75"/>
    </row>
    <row r="144" spans="1:48" s="70" customFormat="1" outlineLevel="1" x14ac:dyDescent="0.55000000000000004">
      <c r="B144" s="183" t="s">
        <v>10</v>
      </c>
      <c r="C144" s="183"/>
      <c r="E144" s="183" t="s">
        <v>123</v>
      </c>
      <c r="F144" s="183"/>
      <c r="G144" s="183"/>
      <c r="H144" s="183"/>
      <c r="I144" s="183"/>
      <c r="J144" s="183"/>
      <c r="L144" s="183" t="s">
        <v>378</v>
      </c>
      <c r="M144" s="183"/>
      <c r="N144" s="183"/>
      <c r="O144" s="183"/>
      <c r="P144" s="183"/>
      <c r="R144" s="183" t="s">
        <v>462</v>
      </c>
      <c r="S144" s="183"/>
      <c r="T144" s="183"/>
      <c r="U144" s="183"/>
      <c r="V144" s="183"/>
      <c r="W144" s="183"/>
      <c r="X144" s="183"/>
      <c r="Y144" s="183"/>
      <c r="Z144" s="170"/>
      <c r="AA144" s="152" t="s">
        <v>142</v>
      </c>
      <c r="AC144" s="184" t="s">
        <v>5</v>
      </c>
      <c r="AD144" s="184"/>
      <c r="AF144" s="75"/>
    </row>
    <row r="145" spans="2:32" s="70" customFormat="1" ht="25.8" outlineLevel="1" x14ac:dyDescent="0.55000000000000004">
      <c r="B145" s="146" t="s">
        <v>145</v>
      </c>
      <c r="C145" s="146" t="s">
        <v>10</v>
      </c>
      <c r="E145" s="54" t="s">
        <v>11</v>
      </c>
      <c r="F145" s="54" t="s">
        <v>13</v>
      </c>
      <c r="G145" s="54" t="s">
        <v>381</v>
      </c>
      <c r="H145" s="54" t="s">
        <v>337</v>
      </c>
      <c r="I145" s="54" t="s">
        <v>382</v>
      </c>
      <c r="J145" s="54" t="s">
        <v>14</v>
      </c>
      <c r="L145" s="54" t="s">
        <v>11</v>
      </c>
      <c r="M145" s="54" t="s">
        <v>152</v>
      </c>
      <c r="N145" s="54" t="s">
        <v>13</v>
      </c>
      <c r="O145" s="54" t="s">
        <v>133</v>
      </c>
      <c r="P145" s="54" t="s">
        <v>14</v>
      </c>
      <c r="Q145" s="51"/>
      <c r="R145" s="54" t="s">
        <v>11</v>
      </c>
      <c r="S145" s="54" t="s">
        <v>37</v>
      </c>
      <c r="T145" s="54" t="s">
        <v>40</v>
      </c>
      <c r="U145" s="59" t="s">
        <v>13</v>
      </c>
      <c r="V145" s="56" t="s">
        <v>383</v>
      </c>
      <c r="W145" s="54" t="s">
        <v>384</v>
      </c>
      <c r="X145" s="54" t="s">
        <v>119</v>
      </c>
      <c r="Y145" s="54" t="s">
        <v>14</v>
      </c>
      <c r="Z145" s="168"/>
      <c r="AA145" s="76" t="s">
        <v>14</v>
      </c>
      <c r="AC145" s="160" t="s">
        <v>146</v>
      </c>
      <c r="AD145" s="160" t="s">
        <v>147</v>
      </c>
      <c r="AF145" s="75"/>
    </row>
    <row r="146" spans="2:32" s="70" customFormat="1" outlineLevel="1" x14ac:dyDescent="0.55000000000000004">
      <c r="B146" s="119" t="s">
        <v>298</v>
      </c>
      <c r="C146" s="119" t="s">
        <v>299</v>
      </c>
      <c r="E146" s="147" t="s">
        <v>300</v>
      </c>
      <c r="F146" s="147" t="s">
        <v>301</v>
      </c>
      <c r="G146" s="147" t="s">
        <v>302</v>
      </c>
      <c r="H146" s="147" t="s">
        <v>303</v>
      </c>
      <c r="I146" s="147" t="s">
        <v>304</v>
      </c>
      <c r="J146" s="147" t="s">
        <v>305</v>
      </c>
      <c r="L146" s="60" t="s">
        <v>306</v>
      </c>
      <c r="M146" s="60" t="s">
        <v>307</v>
      </c>
      <c r="N146" s="60" t="s">
        <v>308</v>
      </c>
      <c r="O146" s="60" t="s">
        <v>309</v>
      </c>
      <c r="P146" s="60" t="s">
        <v>310</v>
      </c>
      <c r="Q146" s="61"/>
      <c r="R146" s="60" t="s">
        <v>311</v>
      </c>
      <c r="S146" s="60" t="s">
        <v>312</v>
      </c>
      <c r="T146" s="60" t="s">
        <v>313</v>
      </c>
      <c r="U146" s="60" t="s">
        <v>314</v>
      </c>
      <c r="V146" s="60" t="s">
        <v>315</v>
      </c>
      <c r="W146" s="60" t="s">
        <v>316</v>
      </c>
      <c r="X146" s="60" t="s">
        <v>317</v>
      </c>
      <c r="Y146" s="60" t="s">
        <v>318</v>
      </c>
      <c r="Z146" s="169"/>
      <c r="AA146" s="60" t="s">
        <v>319</v>
      </c>
      <c r="AC146" s="60" t="s">
        <v>320</v>
      </c>
      <c r="AD146" s="60" t="s">
        <v>321</v>
      </c>
      <c r="AF146" s="75"/>
    </row>
    <row r="147" spans="2:32" s="70" customFormat="1" outlineLevel="1" x14ac:dyDescent="0.55000000000000004">
      <c r="B147" s="116"/>
      <c r="C147" s="117">
        <v>0</v>
      </c>
      <c r="L147" s="55"/>
      <c r="N147" s="55"/>
      <c r="O147" s="55"/>
      <c r="P147" s="55"/>
      <c r="Q147" s="55"/>
      <c r="R147" s="51"/>
      <c r="S147" s="51"/>
      <c r="T147" s="51"/>
      <c r="U147" s="64"/>
      <c r="V147" s="51"/>
      <c r="W147" s="51"/>
      <c r="X147" s="51"/>
      <c r="Y147" s="51"/>
      <c r="Z147" s="165"/>
      <c r="AA147" s="51"/>
      <c r="AC147" s="51"/>
      <c r="AD147" s="65"/>
      <c r="AF147" s="75"/>
    </row>
    <row r="148" spans="2:32" s="70" customFormat="1" outlineLevel="1" x14ac:dyDescent="0.55000000000000004">
      <c r="B148" s="1" t="s">
        <v>6</v>
      </c>
      <c r="C148" s="3">
        <v>1</v>
      </c>
      <c r="E148" s="51">
        <f>IF(C148=1,Z39,J147)*(1-(F26="immediate"))</f>
        <v>-900000</v>
      </c>
      <c r="F148" s="51">
        <f>IF($F$27="yes",E148*((1+$F$17)^(1/4)-1),0)</f>
        <v>0</v>
      </c>
      <c r="G148" s="51">
        <f>-(E148+F148)*($F$26="time")*IFERROR(IF($F$27="yes",D40/SUM(D40:$D$55),1/COUNT(D40:$D$55)),0)</f>
        <v>0</v>
      </c>
      <c r="H148" s="51">
        <f>-(E148+F148)*($F$26="policies IF")*IFERROR(IF(C148&lt;$F$8,IF($F$27="yes",H40/SUM(H40:$H$55),F40/SUM(F40:$F$55)),IF($F$27="yes",H67/SUM(H67:$H$82),F67/SUM(F67:$F$82))),0)</f>
        <v>0</v>
      </c>
      <c r="I148" s="51">
        <f>-(E148+F148)*($F$26="risk")*IFERROR(IF(C148&lt;$F$8,IF($F$27="yes",R40/SUM(R40:$R$55),Q40/SUM(Q40:$Q$55)),IF($F$27="yes",R67/SUM(R67:$R$82),Q67/SUM(Q67:$Q$82))),0)</f>
        <v>82710.961885402707</v>
      </c>
      <c r="J148" s="51">
        <f t="shared" ref="J148:J155" si="163">SUM(E148:I148)</f>
        <v>-817289.03811459732</v>
      </c>
      <c r="K148" s="123"/>
      <c r="L148" s="51">
        <f ca="1">IF(C148=1,IF(F27="yes",-AD58-AH58,-W58-AA58),P147)</f>
        <v>6164393.2976012016</v>
      </c>
      <c r="M148" s="51">
        <f>IF(C148=$F$8,AS66,0)</f>
        <v>0</v>
      </c>
      <c r="N148" s="51">
        <f>IF($F$27="yes",(L148+M148)*((1+$F$17)^(1/4)-1),0)</f>
        <v>0</v>
      </c>
      <c r="O148" s="51">
        <f ca="1">-(L148+M148+N148)*IFERROR(IF(C148&lt;$F$8,IF($F$24="yes",R40/SUM(R40:$R$56),Q40/SUM(Q40:$Q$56)),IF($F$24="yes",R67/SUM(R67:$R$82),Q67/SUM(Q67:$Q$82))),0)</f>
        <v>-584402.87543301471</v>
      </c>
      <c r="P148" s="51">
        <f t="shared" ref="P148:P155" ca="1" si="164">SUM(L148:O148)</f>
        <v>5579990.4221681869</v>
      </c>
      <c r="Q148" s="123"/>
      <c r="R148" s="51">
        <f t="shared" ref="R148:R155" si="165">IF(C148=1,0,Y147)</f>
        <v>0</v>
      </c>
      <c r="S148" s="51">
        <f t="shared" ref="S148:S163" si="166">IF($C121&lt;=$F$8,-W39,-W93)</f>
        <v>1125000</v>
      </c>
      <c r="T148" s="51">
        <f>E148</f>
        <v>-900000</v>
      </c>
      <c r="U148" s="51">
        <f t="shared" ref="U148:U155" si="167">IF($F$27="yes",(R148+S148+T148)*((1+$F$17)^(1/4)-1),0)</f>
        <v>0</v>
      </c>
      <c r="V148" s="51">
        <f>-SUM(G148:I148)</f>
        <v>-82710.961885402707</v>
      </c>
      <c r="W148" s="51">
        <f ca="1">O148</f>
        <v>-584402.87543301471</v>
      </c>
      <c r="X148" s="51">
        <f ca="1">IF($C121&lt;$F$8,-AA40,-AA94)</f>
        <v>-30520.344935713594</v>
      </c>
      <c r="Y148" s="51">
        <f t="shared" ref="Y148:Y155" ca="1" si="168">SUM(R148:X148)</f>
        <v>-472634.18225413095</v>
      </c>
      <c r="Z148" s="165"/>
      <c r="AA148" s="51">
        <f t="shared" ref="AA148:AA163" ca="1" si="169">ROUND(M121+U121+AC121,2)</f>
        <v>1353359.73</v>
      </c>
      <c r="AC148" s="51">
        <f t="shared" ref="AC148:AC163" ca="1" si="170">ABS(Y148-AA148)</f>
        <v>1825993.9122541309</v>
      </c>
      <c r="AD148" s="93">
        <f t="shared" ref="AD148:AD155" ca="1" si="171">IFERROR(AC148/ABS(AA148),0)</f>
        <v>1.3492302687727609</v>
      </c>
      <c r="AF148" s="75"/>
    </row>
    <row r="149" spans="2:32" s="70" customFormat="1" outlineLevel="1" x14ac:dyDescent="0.55000000000000004">
      <c r="B149" s="1" t="s">
        <v>7</v>
      </c>
      <c r="C149" s="3">
        <v>2</v>
      </c>
      <c r="E149" s="51">
        <f t="shared" ref="E149:E163" si="172">IF(C149=1,Z40,J148)</f>
        <v>-817289.03811459732</v>
      </c>
      <c r="F149" s="51">
        <f t="shared" ref="F149:F155" si="173">IF($F$27="yes",E149*((1+$F$17)^(1/4)-1),0)</f>
        <v>0</v>
      </c>
      <c r="G149" s="51">
        <f>-(E149+F149)*($F$26="time")*IFERROR(IF($F$27="yes",D41/SUM(D41:$D$55),1/COUNT(D41:$D$55)),0)</f>
        <v>0</v>
      </c>
      <c r="H149" s="51">
        <f>-(E149+F149)*($F$26="policies IF")*IFERROR(IF(C149&lt;$F$8,IF($F$27="yes",H41/SUM(H41:$H$55),F41/SUM(F41:$F$55)),IF($F$27="yes",H68/SUM(H68:$H$82),F68/SUM(F68:$F$82))),0)</f>
        <v>0</v>
      </c>
      <c r="I149" s="51">
        <f>-(E149+F149)*($F$26="risk")*IFERROR(IF(C149&lt;$F$8,IF($F$27="yes",R41/SUM(R41:$R$55),Q41/SUM(Q41:$Q$55)),IF($F$27="yes",R68/SUM(R68:$R$82),Q68/SUM(Q68:$Q$82))),0)</f>
        <v>78223.198175701109</v>
      </c>
      <c r="J149" s="51">
        <f t="shared" si="163"/>
        <v>-739065.83993889624</v>
      </c>
      <c r="K149" s="123"/>
      <c r="L149" s="51">
        <f ca="1">IF(C149=1,IF(F28="yes",-AD59-AH59,-W59-AA59),P148)</f>
        <v>5579990.4221681869</v>
      </c>
      <c r="M149" s="51">
        <f t="shared" ref="M149:M163" si="174">IF(C149=$F$8,AS67,0)</f>
        <v>0</v>
      </c>
      <c r="N149" s="51">
        <f t="shared" ref="N149:N155" si="175">IF($F$27="yes",(L149+M149)*((1+$F$17)^(1/4)-1),0)</f>
        <v>0</v>
      </c>
      <c r="O149" s="51">
        <f ca="1">-(L149+M149+N149)*IFERROR(IF(C149&lt;$F$8,IF($F$24="yes",R41/SUM(R41:$R$56),Q41/SUM(Q41:$Q$56)),IF($F$24="yes",R68/SUM(R68:$R$82),Q68/SUM(Q68:$Q$82))),0)</f>
        <v>-549964.67865028174</v>
      </c>
      <c r="P149" s="51">
        <f t="shared" ca="1" si="164"/>
        <v>5030025.7435179055</v>
      </c>
      <c r="Q149" s="123"/>
      <c r="R149" s="51">
        <f t="shared" ca="1" si="165"/>
        <v>-472634.18225413095</v>
      </c>
      <c r="S149" s="51">
        <f t="shared" si="166"/>
        <v>0</v>
      </c>
      <c r="T149" s="51">
        <f t="shared" ref="T149:T163" si="176">-Z40</f>
        <v>0</v>
      </c>
      <c r="U149" s="51">
        <f t="shared" si="167"/>
        <v>0</v>
      </c>
      <c r="V149" s="51">
        <f t="shared" ref="V149:V155" si="177">-SUM(G149:I149)</f>
        <v>-78223.198175701109</v>
      </c>
      <c r="W149" s="51">
        <f t="shared" ref="W149:W155" ca="1" si="178">O149</f>
        <v>-549964.67865028174</v>
      </c>
      <c r="X149" s="51">
        <f t="shared" ref="X149:X163" ca="1" si="179">IF($C122&lt;$F$8,-AA41,-AA95)</f>
        <v>0</v>
      </c>
      <c r="Y149" s="51">
        <f t="shared" ca="1" si="168"/>
        <v>-1100822.0590801137</v>
      </c>
      <c r="Z149" s="165"/>
      <c r="AA149" s="51">
        <f t="shared" ca="1" si="169"/>
        <v>743446.51</v>
      </c>
      <c r="AC149" s="51">
        <f t="shared" ca="1" si="170"/>
        <v>1844268.5690801137</v>
      </c>
      <c r="AD149" s="93">
        <f t="shared" ca="1" si="171"/>
        <v>2.4807010918379504</v>
      </c>
      <c r="AF149" s="75"/>
    </row>
    <row r="150" spans="2:32" s="70" customFormat="1" outlineLevel="1" x14ac:dyDescent="0.55000000000000004">
      <c r="B150" s="1" t="s">
        <v>8</v>
      </c>
      <c r="C150" s="3">
        <v>3</v>
      </c>
      <c r="E150" s="51">
        <f t="shared" si="172"/>
        <v>-739065.83993889624</v>
      </c>
      <c r="F150" s="51">
        <f t="shared" si="173"/>
        <v>0</v>
      </c>
      <c r="G150" s="51">
        <f>-(E150+F150)*($F$26="time")*IFERROR(IF($F$27="yes",D42/SUM(D42:$D$55),1/COUNT(D42:$D$55)),0)</f>
        <v>0</v>
      </c>
      <c r="H150" s="51">
        <f>-(E150+F150)*($F$26="policies IF")*IFERROR(IF(C150&lt;$F$8,IF($F$27="yes",H42/SUM(H42:$H$55),F42/SUM(F42:$F$55)),IF($F$27="yes",H69/SUM(H69:$H$82),F69/SUM(F69:$F$82))),0)</f>
        <v>0</v>
      </c>
      <c r="I150" s="51">
        <f>-(E150+F150)*($F$26="risk")*IFERROR(IF(C150&lt;$F$8,IF($F$27="yes",R42/SUM(R42:$R$55),Q42/SUM(Q42:$Q$55)),IF($F$27="yes",R69/SUM(R69:$R$82),Q69/SUM(Q69:$Q$82))),0)</f>
        <v>73978.933304061866</v>
      </c>
      <c r="J150" s="51">
        <f t="shared" si="163"/>
        <v>-665086.90663483436</v>
      </c>
      <c r="K150" s="123"/>
      <c r="L150" s="51">
        <f ca="1">IF(C150=1,IF(F30="yes",-AD61-AH61,-W61-AA61),P149)</f>
        <v>5030025.7435179055</v>
      </c>
      <c r="M150" s="51">
        <f t="shared" si="174"/>
        <v>0</v>
      </c>
      <c r="N150" s="51">
        <f t="shared" si="175"/>
        <v>0</v>
      </c>
      <c r="O150" s="51">
        <f ca="1">-(L150+M150+N150)*IFERROR(IF(C150&lt;$F$8,IF($F$24="yes",R42/SUM(R42:$R$56),Q42/SUM(Q42:$Q$56)),IF($F$24="yes",R69/SUM(R69:$R$82),Q69/SUM(Q69:$Q$82))),0)</f>
        <v>-517555.88563591195</v>
      </c>
      <c r="P150" s="51">
        <f t="shared" ca="1" si="164"/>
        <v>4512469.8578819931</v>
      </c>
      <c r="Q150" s="123"/>
      <c r="R150" s="51">
        <f t="shared" ca="1" si="165"/>
        <v>-1100822.0590801137</v>
      </c>
      <c r="S150" s="51">
        <f t="shared" si="166"/>
        <v>1006230.5898749053</v>
      </c>
      <c r="T150" s="51">
        <f t="shared" si="176"/>
        <v>0</v>
      </c>
      <c r="U150" s="51">
        <f t="shared" si="167"/>
        <v>0</v>
      </c>
      <c r="V150" s="51">
        <f t="shared" si="177"/>
        <v>-73978.933304061866</v>
      </c>
      <c r="W150" s="51">
        <f t="shared" ca="1" si="178"/>
        <v>-517555.88563591195</v>
      </c>
      <c r="X150" s="51">
        <f t="shared" ca="1" si="179"/>
        <v>-24416.275948570881</v>
      </c>
      <c r="Y150" s="51">
        <f t="shared" ca="1" si="168"/>
        <v>-710542.56409375311</v>
      </c>
      <c r="Z150" s="165"/>
      <c r="AA150" s="51">
        <f t="shared" ca="1" si="169"/>
        <v>1150021.5</v>
      </c>
      <c r="AC150" s="51">
        <f t="shared" ca="1" si="170"/>
        <v>1860564.0640937532</v>
      </c>
      <c r="AD150" s="93">
        <f t="shared" ca="1" si="171"/>
        <v>1.6178515480743214</v>
      </c>
      <c r="AF150" s="75"/>
    </row>
    <row r="151" spans="2:32" s="70" customFormat="1" outlineLevel="1" x14ac:dyDescent="0.55000000000000004">
      <c r="B151" s="1" t="s">
        <v>9</v>
      </c>
      <c r="C151" s="3">
        <v>4</v>
      </c>
      <c r="E151" s="51">
        <f t="shared" si="172"/>
        <v>-665086.90663483436</v>
      </c>
      <c r="F151" s="51">
        <f t="shared" si="173"/>
        <v>0</v>
      </c>
      <c r="G151" s="51">
        <f>-(E151+F151)*($F$26="time")*IFERROR(IF($F$27="yes",D43/SUM(D43:$D$55),1/COUNT(D43:$D$55)),0)</f>
        <v>0</v>
      </c>
      <c r="H151" s="51">
        <f>-(E151+F151)*($F$26="policies IF")*IFERROR(IF(C151&lt;$F$8,IF($F$27="yes",H43/SUM(H43:$H$55),F43/SUM(F43:$F$55)),IF($F$27="yes",H70/SUM(H70:$H$82),F70/SUM(F70:$F$82))),0)</f>
        <v>0</v>
      </c>
      <c r="I151" s="51">
        <f>-(E151+F151)*($F$26="risk")*IFERROR(IF(C151&lt;$F$8,IF($F$27="yes",R43/SUM(R43:$R$55),Q43/SUM(Q43:$Q$55)),IF($F$27="yes",R70/SUM(R70:$R$82),Q70/SUM(Q70:$Q$82))),0)</f>
        <v>69964.955415322111</v>
      </c>
      <c r="J151" s="51">
        <f t="shared" si="163"/>
        <v>-595121.95121951227</v>
      </c>
      <c r="K151" s="123"/>
      <c r="L151" s="51">
        <f ca="1">IF(C151=1,IF(F31="yes",-AD62-AH62,-W62-AA62),P150)</f>
        <v>4512469.8578819931</v>
      </c>
      <c r="M151" s="51">
        <f t="shared" si="174"/>
        <v>0</v>
      </c>
      <c r="N151" s="51">
        <f t="shared" si="175"/>
        <v>0</v>
      </c>
      <c r="O151" s="51">
        <f ca="1">-(L151+M151+N151)*IFERROR(IF(C151&lt;$F$8,IF($F$24="yes",R43/SUM(R43:$R$56),Q43/SUM(Q43:$Q$56)),IF($F$24="yes",R70/SUM(R70:$R$82),Q70/SUM(Q70:$Q$82))),0)</f>
        <v>-487056.90593396447</v>
      </c>
      <c r="P151" s="51">
        <f t="shared" ca="1" si="164"/>
        <v>4025412.9519480285</v>
      </c>
      <c r="Q151" s="123"/>
      <c r="R151" s="51">
        <f t="shared" ca="1" si="165"/>
        <v>-710542.56409375311</v>
      </c>
      <c r="S151" s="51">
        <f t="shared" si="166"/>
        <v>0</v>
      </c>
      <c r="T151" s="51">
        <f t="shared" si="176"/>
        <v>0</v>
      </c>
      <c r="U151" s="51">
        <f t="shared" si="167"/>
        <v>0</v>
      </c>
      <c r="V151" s="51">
        <f t="shared" si="177"/>
        <v>-69964.955415322111</v>
      </c>
      <c r="W151" s="51">
        <f t="shared" ca="1" si="178"/>
        <v>-487056.90593396447</v>
      </c>
      <c r="X151" s="51">
        <f t="shared" ca="1" si="179"/>
        <v>0</v>
      </c>
      <c r="Y151" s="51">
        <f t="shared" ca="1" si="168"/>
        <v>-1267564.4254430397</v>
      </c>
      <c r="Z151" s="165"/>
      <c r="AA151" s="51">
        <f t="shared" ca="1" si="169"/>
        <v>602777.43999999994</v>
      </c>
      <c r="AC151" s="51">
        <f t="shared" ca="1" si="170"/>
        <v>1870341.8654430397</v>
      </c>
      <c r="AD151" s="93">
        <f t="shared" ca="1" si="171"/>
        <v>3.1028730362620074</v>
      </c>
      <c r="AF151" s="75"/>
    </row>
    <row r="152" spans="2:32" s="70" customFormat="1" outlineLevel="1" x14ac:dyDescent="0.55000000000000004">
      <c r="B152" s="1" t="s">
        <v>15</v>
      </c>
      <c r="C152" s="3">
        <v>5</v>
      </c>
      <c r="E152" s="51">
        <f t="shared" si="172"/>
        <v>-595121.95121951227</v>
      </c>
      <c r="F152" s="51">
        <f t="shared" si="173"/>
        <v>0</v>
      </c>
      <c r="G152" s="51">
        <f>-(E152+F152)*($F$26="time")*IFERROR(IF($F$27="yes",D44/SUM(D44:$D$55),1/COUNT(D44:$D$55)),0)</f>
        <v>0</v>
      </c>
      <c r="H152" s="51">
        <f>-(E152+F152)*($F$26="policies IF")*IFERROR(IF(C152&lt;$F$8,IF($F$27="yes",H44/SUM(H44:$H$55),F44/SUM(F44:$F$55)),IF($F$27="yes",H71/SUM(H71:$H$82),F71/SUM(F71:$F$82))),0)</f>
        <v>0</v>
      </c>
      <c r="I152" s="51">
        <f>-(E152+F152)*($F$26="risk")*IFERROR(IF(C152&lt;$F$8,IF($F$27="yes",R44/SUM(R44:$R$55),Q44/SUM(Q44:$Q$55)),IF($F$27="yes",R71/SUM(R71:$R$82),Q71/SUM(Q71:$Q$82))),0)</f>
        <v>66168.769508322192</v>
      </c>
      <c r="J152" s="51">
        <f t="shared" si="163"/>
        <v>-528953.18171119003</v>
      </c>
      <c r="K152" s="123"/>
      <c r="L152" s="51">
        <f t="shared" ref="L152:L163" ca="1" si="180">IF(C152=1,IF(F34="yes",-AD63-AH63,-W63-AA63),P151)</f>
        <v>4025412.9519480285</v>
      </c>
      <c r="M152" s="51">
        <f t="shared" si="174"/>
        <v>0</v>
      </c>
      <c r="N152" s="51">
        <f t="shared" si="175"/>
        <v>0</v>
      </c>
      <c r="O152" s="51">
        <f ca="1">-(L152+M152+N152)*IFERROR(IF(C152&lt;$F$8,IF($F$24="yes",R44/SUM(R44:$R$56),Q44/SUM(Q44:$Q$56)),IF($F$24="yes",R71/SUM(R71:$R$82),Q71/SUM(Q71:$Q$82))),0)</f>
        <v>-458355.19641805079</v>
      </c>
      <c r="P152" s="51">
        <f t="shared" ca="1" si="164"/>
        <v>3567057.7555299778</v>
      </c>
      <c r="Q152" s="123"/>
      <c r="R152" s="51">
        <f t="shared" ca="1" si="165"/>
        <v>-1267564.4254430397</v>
      </c>
      <c r="S152" s="51">
        <f t="shared" si="166"/>
        <v>900000</v>
      </c>
      <c r="T152" s="51">
        <f t="shared" si="176"/>
        <v>0</v>
      </c>
      <c r="U152" s="51">
        <f t="shared" si="167"/>
        <v>0</v>
      </c>
      <c r="V152" s="51">
        <f t="shared" si="177"/>
        <v>-66168.769508322192</v>
      </c>
      <c r="W152" s="51">
        <f t="shared" ca="1" si="178"/>
        <v>-458355.19641805079</v>
      </c>
      <c r="X152" s="51">
        <f t="shared" ca="1" si="179"/>
        <v>-19533.020758856699</v>
      </c>
      <c r="Y152" s="51">
        <f t="shared" ca="1" si="168"/>
        <v>-911621.41212826932</v>
      </c>
      <c r="Z152" s="165"/>
      <c r="AA152" s="51">
        <f t="shared" ca="1" si="169"/>
        <v>967078.85</v>
      </c>
      <c r="AC152" s="51">
        <f t="shared" ca="1" si="170"/>
        <v>1878700.2621282693</v>
      </c>
      <c r="AD152" s="93">
        <f t="shared" ca="1" si="171"/>
        <v>1.942654688527486</v>
      </c>
      <c r="AF152" s="75"/>
    </row>
    <row r="153" spans="2:32" s="70" customFormat="1" outlineLevel="1" x14ac:dyDescent="0.55000000000000004">
      <c r="B153" s="1" t="s">
        <v>16</v>
      </c>
      <c r="C153" s="3">
        <v>6</v>
      </c>
      <c r="E153" s="51">
        <f t="shared" si="172"/>
        <v>-528953.18171119003</v>
      </c>
      <c r="F153" s="51">
        <f t="shared" si="173"/>
        <v>0</v>
      </c>
      <c r="G153" s="51">
        <f>-(E153+F153)*($F$26="time")*IFERROR(IF($F$27="yes",D45/SUM(D45:$D$55),1/COUNT(D45:$D$55)),0)</f>
        <v>0</v>
      </c>
      <c r="H153" s="51">
        <f>-(E153+F153)*($F$26="policies IF")*IFERROR(IF(C153&lt;$F$8,IF($F$27="yes",H45/SUM(H45:$H$55),F45/SUM(F45:$F$55)),IF($F$27="yes",H72/SUM(H72:$H$82),F72/SUM(F72:$F$82))),0)</f>
        <v>0</v>
      </c>
      <c r="I153" s="51">
        <f>-(E153+F153)*($F$26="risk")*IFERROR(IF(C153&lt;$F$8,IF($F$27="yes",R45/SUM(R45:$R$55),Q45/SUM(Q45:$Q$55)),IF($F$27="yes",R72/SUM(R72:$R$82),Q72/SUM(Q72:$Q$82))),0)</f>
        <v>62578.558540560894</v>
      </c>
      <c r="J153" s="51">
        <f t="shared" si="163"/>
        <v>-466374.62317062914</v>
      </c>
      <c r="K153" s="123"/>
      <c r="L153" s="51">
        <f t="shared" ca="1" si="180"/>
        <v>3567057.7555299778</v>
      </c>
      <c r="M153" s="51">
        <f t="shared" si="174"/>
        <v>0</v>
      </c>
      <c r="N153" s="51">
        <f t="shared" si="175"/>
        <v>0</v>
      </c>
      <c r="O153" s="51">
        <f ca="1">-(L153+M153+N153)*IFERROR(IF(C153&lt;$F$8,IF($F$24="yes",R45/SUM(R45:$R$56),Q45/SUM(Q45:$Q$56)),IF($F$24="yes",R72/SUM(R72:$R$82),Q72/SUM(Q72:$Q$82))),0)</f>
        <v>-431344.84600022086</v>
      </c>
      <c r="P153" s="51">
        <f t="shared" ca="1" si="164"/>
        <v>3135712.9095297568</v>
      </c>
      <c r="Q153" s="123"/>
      <c r="R153" s="51">
        <f t="shared" ca="1" si="165"/>
        <v>-911621.41212826932</v>
      </c>
      <c r="S153" s="51">
        <f t="shared" si="166"/>
        <v>0</v>
      </c>
      <c r="T153" s="51">
        <f t="shared" si="176"/>
        <v>0</v>
      </c>
      <c r="U153" s="51">
        <f t="shared" si="167"/>
        <v>0</v>
      </c>
      <c r="V153" s="51">
        <f t="shared" si="177"/>
        <v>-62578.558540560894</v>
      </c>
      <c r="W153" s="51">
        <f t="shared" ca="1" si="178"/>
        <v>-431344.84600022086</v>
      </c>
      <c r="X153" s="51">
        <f t="shared" ca="1" si="179"/>
        <v>0</v>
      </c>
      <c r="Y153" s="51">
        <f t="shared" ca="1" si="168"/>
        <v>-1405544.8166690511</v>
      </c>
      <c r="Z153" s="165"/>
      <c r="AA153" s="51">
        <f t="shared" ca="1" si="169"/>
        <v>476026.17</v>
      </c>
      <c r="AC153" s="51">
        <f t="shared" ca="1" si="170"/>
        <v>1881570.986669051</v>
      </c>
      <c r="AD153" s="93">
        <f t="shared" ca="1" si="171"/>
        <v>3.9526629106736948</v>
      </c>
      <c r="AF153" s="75"/>
    </row>
    <row r="154" spans="2:32" s="70" customFormat="1" outlineLevel="1" x14ac:dyDescent="0.55000000000000004">
      <c r="B154" s="1" t="s">
        <v>17</v>
      </c>
      <c r="C154" s="3">
        <v>7</v>
      </c>
      <c r="E154" s="51">
        <f t="shared" si="172"/>
        <v>-466374.62317062914</v>
      </c>
      <c r="F154" s="51">
        <f t="shared" si="173"/>
        <v>0</v>
      </c>
      <c r="G154" s="51">
        <f>-(E154+F154)*($F$26="time")*IFERROR(IF($F$27="yes",D46/SUM(D46:$D$55),1/COUNT(D46:$D$55)),0)</f>
        <v>0</v>
      </c>
      <c r="H154" s="51">
        <f>-(E154+F154)*($F$26="policies IF")*IFERROR(IF(C154&lt;$F$8,IF($F$27="yes",H46/SUM(H46:$H$55),F46/SUM(F46:$F$55)),IF($F$27="yes",H73/SUM(H73:$H$82),F73/SUM(F73:$F$82))),0)</f>
        <v>0</v>
      </c>
      <c r="I154" s="51">
        <f>-(E154+F154)*($F$26="risk")*IFERROR(IF(C154&lt;$F$8,IF($F$27="yes",R46/SUM(R46:$R$55),Q46/SUM(Q46:$Q$55)),IF($F$27="yes",R73/SUM(R73:$R$82),Q73/SUM(Q73:$Q$82))),0)</f>
        <v>48507.845820913666</v>
      </c>
      <c r="J154" s="51">
        <f t="shared" si="163"/>
        <v>-417866.77734971547</v>
      </c>
      <c r="K154" s="123"/>
      <c r="L154" s="51">
        <f t="shared" ca="1" si="180"/>
        <v>3135712.9095297568</v>
      </c>
      <c r="M154" s="51">
        <f t="shared" ca="1" si="174"/>
        <v>984979.80890313722</v>
      </c>
      <c r="N154" s="51">
        <f t="shared" si="175"/>
        <v>0</v>
      </c>
      <c r="O154" s="51">
        <f ca="1">-(L154+M154+N154)*IFERROR(IF(C154&lt;$F$8,IF($F$24="yes",R46/SUM(R46:$R$56),Q46/SUM(Q46:$Q$56)),IF($F$24="yes",R73/SUM(R73:$R$82),Q73/SUM(Q73:$Q$82))),0)</f>
        <v>-437822.62564920809</v>
      </c>
      <c r="P154" s="51">
        <f t="shared" ca="1" si="164"/>
        <v>3682870.0927836858</v>
      </c>
      <c r="Q154" s="123"/>
      <c r="R154" s="51">
        <f t="shared" ca="1" si="165"/>
        <v>-1405544.8166690511</v>
      </c>
      <c r="S154" s="51">
        <f t="shared" si="166"/>
        <v>804984.47189992433</v>
      </c>
      <c r="T154" s="51">
        <f t="shared" si="176"/>
        <v>0</v>
      </c>
      <c r="U154" s="51">
        <f t="shared" si="167"/>
        <v>0</v>
      </c>
      <c r="V154" s="51">
        <f t="shared" si="177"/>
        <v>-48507.845820913666</v>
      </c>
      <c r="W154" s="51">
        <f t="shared" ca="1" si="178"/>
        <v>-437822.62564920809</v>
      </c>
      <c r="X154" s="51">
        <f t="shared" ca="1" si="179"/>
        <v>46720.181843236911</v>
      </c>
      <c r="Y154" s="51">
        <f t="shared" ca="1" si="168"/>
        <v>-1040170.6343960116</v>
      </c>
      <c r="Z154" s="165"/>
      <c r="AA154" s="51">
        <f t="shared" ca="1" si="169"/>
        <v>773451.29</v>
      </c>
      <c r="AC154" s="51">
        <f t="shared" ca="1" si="170"/>
        <v>1813621.9243960115</v>
      </c>
      <c r="AD154" s="93">
        <f t="shared" ca="1" si="171"/>
        <v>2.3448431049821008</v>
      </c>
      <c r="AF154" s="75"/>
    </row>
    <row r="155" spans="2:32" s="70" customFormat="1" outlineLevel="1" x14ac:dyDescent="0.55000000000000004">
      <c r="B155" s="1" t="s">
        <v>18</v>
      </c>
      <c r="C155" s="3">
        <v>8</v>
      </c>
      <c r="E155" s="51">
        <f t="shared" si="172"/>
        <v>-417866.77734971547</v>
      </c>
      <c r="F155" s="51">
        <f t="shared" si="173"/>
        <v>0</v>
      </c>
      <c r="G155" s="51">
        <f>-(E155+F155)*($F$26="time")*IFERROR(IF($F$27="yes",D47/SUM(D47:$D$55),1/COUNT(D47:$D$55)),0)</f>
        <v>0</v>
      </c>
      <c r="H155" s="51">
        <f>-(E155+F155)*($F$26="policies IF")*IFERROR(IF(C155&lt;$F$8,IF($F$27="yes",H47/SUM(H47:$H$55),F47/SUM(F47:$F$55)),IF($F$27="yes",H74/SUM(H74:$H$82),F74/SUM(F74:$F$82))),0)</f>
        <v>0</v>
      </c>
      <c r="I155" s="51">
        <f>-(E155+F155)*($F$26="risk")*IFERROR(IF(C155&lt;$F$8,IF($F$27="yes",R47/SUM(R47:$R$55),Q47/SUM(Q47:$Q$55)),IF($F$27="yes",R74/SUM(R74:$R$82),Q74/SUM(Q74:$Q$82))),0)</f>
        <v>51469.377871849094</v>
      </c>
      <c r="J155" s="51">
        <f t="shared" si="163"/>
        <v>-366397.39947786636</v>
      </c>
      <c r="K155" s="123"/>
      <c r="L155" s="51">
        <f t="shared" ca="1" si="180"/>
        <v>3682870.0927836858</v>
      </c>
      <c r="M155" s="51">
        <f t="shared" si="174"/>
        <v>0</v>
      </c>
      <c r="N155" s="51">
        <f t="shared" si="175"/>
        <v>0</v>
      </c>
      <c r="O155" s="51">
        <f ca="1">-(L155+M155+N155)*IFERROR(IF(C155&lt;$F$8,IF($F$24="yes",R47/SUM(R47:$R$56),Q47/SUM(Q47:$Q$56)),IF($F$24="yes",R74/SUM(R74:$R$82),Q74/SUM(Q74:$Q$82))),0)</f>
        <v>-462258.69455241662</v>
      </c>
      <c r="P155" s="51">
        <f t="shared" ca="1" si="164"/>
        <v>3220611.3982312693</v>
      </c>
      <c r="Q155" s="123"/>
      <c r="R155" s="51">
        <f t="shared" ca="1" si="165"/>
        <v>-1040170.6343960116</v>
      </c>
      <c r="S155" s="51">
        <f t="shared" si="166"/>
        <v>0</v>
      </c>
      <c r="T155" s="51">
        <f t="shared" si="176"/>
        <v>0</v>
      </c>
      <c r="U155" s="51">
        <f t="shared" si="167"/>
        <v>0</v>
      </c>
      <c r="V155" s="51">
        <f t="shared" si="177"/>
        <v>-51469.377871849094</v>
      </c>
      <c r="W155" s="51">
        <f t="shared" ca="1" si="178"/>
        <v>-462258.69455241662</v>
      </c>
      <c r="X155" s="51">
        <f t="shared" ca="1" si="179"/>
        <v>0</v>
      </c>
      <c r="Y155" s="51">
        <f t="shared" ca="1" si="168"/>
        <v>-1553898.7068202773</v>
      </c>
      <c r="Z155" s="165"/>
      <c r="AA155" s="51">
        <f t="shared" ca="1" si="169"/>
        <v>270116.23</v>
      </c>
      <c r="AC155" s="51">
        <f t="shared" ca="1" si="170"/>
        <v>1824014.9368202772</v>
      </c>
      <c r="AD155" s="93">
        <f t="shared" ca="1" si="171"/>
        <v>6.7527039631060948</v>
      </c>
      <c r="AF155" s="75"/>
    </row>
    <row r="156" spans="2:32" s="70" customFormat="1" outlineLevel="1" x14ac:dyDescent="0.55000000000000004">
      <c r="B156" s="1" t="s">
        <v>19</v>
      </c>
      <c r="C156" s="3">
        <v>9</v>
      </c>
      <c r="E156" s="51">
        <f t="shared" si="172"/>
        <v>-366397.39947786636</v>
      </c>
      <c r="F156" s="51">
        <f t="shared" ref="F156:F163" si="181">IF($F$27="yes",E156*((1+$F$17)^(1/4)-1),0)</f>
        <v>0</v>
      </c>
      <c r="G156" s="51">
        <f>-(E156+F156)*($F$26="time")*IFERROR(IF($F$27="yes",D48/SUM(D48:$D$55),1/COUNT(D48:$D$55)),0)</f>
        <v>0</v>
      </c>
      <c r="H156" s="51">
        <f>-(E156+F156)*($F$26="policies IF")*IFERROR(IF(C156&lt;$F$8,IF($F$27="yes",H48/SUM(H48:$H$55),F48/SUM(F48:$F$55)),IF($F$27="yes",H75/SUM(H75:$H$82),F75/SUM(F75:$F$82))),0)</f>
        <v>0</v>
      </c>
      <c r="I156" s="51">
        <f>-(E156+F156)*($F$26="risk")*IFERROR(IF(C156&lt;$F$8,IF($F$27="yes",R48/SUM(R48:$R$55),Q48/SUM(Q48:$Q$55)),IF($F$27="yes",R75/SUM(R75:$R$82),Q75/SUM(Q75:$Q$82))),0)</f>
        <v>50131.366873360283</v>
      </c>
      <c r="J156" s="51">
        <f t="shared" ref="J156:J163" si="182">SUM(E156:I156)</f>
        <v>-316266.03260450606</v>
      </c>
      <c r="K156" s="123"/>
      <c r="L156" s="51">
        <f t="shared" ca="1" si="180"/>
        <v>3220611.3982312693</v>
      </c>
      <c r="M156" s="51">
        <f t="shared" si="174"/>
        <v>0</v>
      </c>
      <c r="N156" s="51">
        <f t="shared" ref="N156:N163" si="183">IF($F$27="yes",(L156+M156)*((1+$F$17)^(1/4)-1),0)</f>
        <v>0</v>
      </c>
      <c r="O156" s="51">
        <f ca="1">-(L156+M156+N156)*IFERROR(IF(C156&lt;$F$8,IF($F$24="yes",R48/SUM(R48:$R$56),Q48/SUM(Q48:$Q$56)),IF($F$24="yes",R75/SUM(R75:$R$82),Q75/SUM(Q75:$Q$82))),0)</f>
        <v>-448018.21655938786</v>
      </c>
      <c r="P156" s="51">
        <f t="shared" ref="P156:P163" ca="1" si="184">SUM(L156:O156)</f>
        <v>2772593.1816718816</v>
      </c>
      <c r="Q156" s="123"/>
      <c r="R156" s="51">
        <f t="shared" ref="R156:R163" ca="1" si="185">IF(C156=1,0,Y155)</f>
        <v>-1553898.7068202773</v>
      </c>
      <c r="S156" s="51">
        <f t="shared" si="166"/>
        <v>911250.00000000012</v>
      </c>
      <c r="T156" s="51">
        <f t="shared" si="176"/>
        <v>0</v>
      </c>
      <c r="U156" s="51">
        <f t="shared" ref="U156:U163" si="186">IF($F$27="yes",(R156+S156+T156)*((1+$F$17)^(1/4)-1),0)</f>
        <v>0</v>
      </c>
      <c r="V156" s="51">
        <f t="shared" ref="V156:V163" si="187">-SUM(G156:I156)</f>
        <v>-50131.366873360283</v>
      </c>
      <c r="W156" s="51">
        <f t="shared" ref="W156:W163" ca="1" si="188">O156</f>
        <v>-448018.21655938786</v>
      </c>
      <c r="X156" s="51">
        <f t="shared" ca="1" si="179"/>
        <v>-9594.0798583290671</v>
      </c>
      <c r="Y156" s="51">
        <f ca="1">SUM(R156:X156)</f>
        <v>-1150392.3701113544</v>
      </c>
      <c r="Z156" s="165"/>
      <c r="AA156" s="51">
        <f t="shared" ca="1" si="169"/>
        <v>681701.46</v>
      </c>
      <c r="AC156" s="51">
        <f t="shared" ca="1" si="170"/>
        <v>1832093.8301113544</v>
      </c>
      <c r="AD156" s="93">
        <f t="shared" ref="AD156:AD163" ca="1" si="189">IFERROR(AC156/ABS(AA156),0)</f>
        <v>2.6875310346428689</v>
      </c>
      <c r="AF156" s="75"/>
    </row>
    <row r="157" spans="2:32" s="70" customFormat="1" outlineLevel="1" x14ac:dyDescent="0.55000000000000004">
      <c r="B157" s="1" t="s">
        <v>20</v>
      </c>
      <c r="C157" s="3">
        <v>10</v>
      </c>
      <c r="E157" s="51">
        <f t="shared" si="172"/>
        <v>-316266.03260450606</v>
      </c>
      <c r="F157" s="51">
        <f t="shared" si="181"/>
        <v>0</v>
      </c>
      <c r="G157" s="51">
        <f>-(E157+F157)*($F$26="time")*IFERROR(IF($F$27="yes",D49/SUM(D49:$D$55),1/COUNT(D49:$D$55)),0)</f>
        <v>0</v>
      </c>
      <c r="H157" s="51">
        <f>-(E157+F157)*($F$26="policies IF")*IFERROR(IF(C157&lt;$F$8,IF($F$27="yes",H49/SUM(H49:$H$55),F49/SUM(F49:$F$55)),IF($F$27="yes",H76/SUM(H76:$H$82),F76/SUM(F76:$F$82))),0)</f>
        <v>0</v>
      </c>
      <c r="I157" s="51">
        <f>-(E157+F157)*($F$26="risk")*IFERROR(IF(C157&lt;$F$8,IF($F$27="yes",R49/SUM(R49:$R$55),Q49/SUM(Q49:$Q$55)),IF($F$27="yes",R76/SUM(R76:$R$82),Q76/SUM(Q76:$Q$82))),0)</f>
        <v>48828.139148073933</v>
      </c>
      <c r="J157" s="51">
        <f t="shared" si="182"/>
        <v>-267437.89345643215</v>
      </c>
      <c r="K157" s="123"/>
      <c r="L157" s="51">
        <f t="shared" ca="1" si="180"/>
        <v>2772593.1816718816</v>
      </c>
      <c r="M157" s="51">
        <f t="shared" si="174"/>
        <v>0</v>
      </c>
      <c r="N157" s="51">
        <f t="shared" si="183"/>
        <v>0</v>
      </c>
      <c r="O157" s="51">
        <f ca="1">-(L157+M157+N157)*IFERROR(IF(C157&lt;$F$8,IF($F$24="yes",R49/SUM(R49:$R$56),Q49/SUM(Q49:$Q$56)),IF($F$24="yes",R76/SUM(R76:$R$82),Q76/SUM(Q76:$Q$82))),0)</f>
        <v>-434216.43494105065</v>
      </c>
      <c r="P157" s="51">
        <f t="shared" ca="1" si="184"/>
        <v>2338376.746730831</v>
      </c>
      <c r="Q157" s="123"/>
      <c r="R157" s="51">
        <f t="shared" ca="1" si="185"/>
        <v>-1150392.3701113544</v>
      </c>
      <c r="S157" s="51">
        <f t="shared" si="166"/>
        <v>0</v>
      </c>
      <c r="T157" s="51">
        <f t="shared" si="176"/>
        <v>0</v>
      </c>
      <c r="U157" s="51">
        <f t="shared" si="186"/>
        <v>0</v>
      </c>
      <c r="V157" s="51">
        <f t="shared" si="187"/>
        <v>-48828.139148073933</v>
      </c>
      <c r="W157" s="51">
        <f t="shared" ca="1" si="188"/>
        <v>-434216.43494105065</v>
      </c>
      <c r="X157" s="51">
        <f t="shared" ca="1" si="179"/>
        <v>0</v>
      </c>
      <c r="Y157" s="51">
        <f t="shared" ref="Y157:Y163" ca="1" si="190">SUM(R157:X157)</f>
        <v>-1633436.944200479</v>
      </c>
      <c r="Z157" s="165"/>
      <c r="AA157" s="51">
        <f t="shared" ca="1" si="169"/>
        <v>202320.46</v>
      </c>
      <c r="AC157" s="51">
        <f t="shared" ca="1" si="170"/>
        <v>1835757.4042004789</v>
      </c>
      <c r="AD157" s="93">
        <f t="shared" ca="1" si="189"/>
        <v>9.0735133965219283</v>
      </c>
      <c r="AF157" s="75"/>
    </row>
    <row r="158" spans="2:32" s="70" customFormat="1" outlineLevel="1" x14ac:dyDescent="0.55000000000000004">
      <c r="B158" s="1" t="s">
        <v>21</v>
      </c>
      <c r="C158" s="3">
        <v>11</v>
      </c>
      <c r="E158" s="51">
        <f t="shared" si="172"/>
        <v>-267437.89345643215</v>
      </c>
      <c r="F158" s="51">
        <f t="shared" si="181"/>
        <v>0</v>
      </c>
      <c r="G158" s="51">
        <f>-(E158+F158)*($F$26="time")*IFERROR(IF($F$27="yes",D50/SUM(D50:$D$55),1/COUNT(D50:$D$55)),0)</f>
        <v>0</v>
      </c>
      <c r="H158" s="51">
        <f>-(E158+F158)*($F$26="policies IF")*IFERROR(IF(C158&lt;$F$8,IF($F$27="yes",H50/SUM(H50:$H$55),F50/SUM(F50:$F$55)),IF($F$27="yes",H77/SUM(H77:$H$82),F77/SUM(F77:$F$82))),0)</f>
        <v>0</v>
      </c>
      <c r="I158" s="51">
        <f>-(E158+F158)*($F$26="risk")*IFERROR(IF(C158&lt;$F$8,IF($F$27="yes",R50/SUM(R50:$R$55),Q50/SUM(Q50:$Q$55)),IF($F$27="yes",R77/SUM(R77:$R$82),Q77/SUM(Q77:$Q$82))),0)</f>
        <v>47558.7904611997</v>
      </c>
      <c r="J158" s="51">
        <f t="shared" si="182"/>
        <v>-219879.10299523245</v>
      </c>
      <c r="K158" s="123"/>
      <c r="L158" s="51">
        <f t="shared" ca="1" si="180"/>
        <v>2338376.746730831</v>
      </c>
      <c r="M158" s="51">
        <f t="shared" si="174"/>
        <v>0</v>
      </c>
      <c r="N158" s="51">
        <f t="shared" si="183"/>
        <v>0</v>
      </c>
      <c r="O158" s="51">
        <f ca="1">-(L158+M158+N158)*IFERROR(IF(C158&lt;$F$8,IF($F$24="yes",R50/SUM(R50:$R$56),Q50/SUM(Q50:$Q$56)),IF($F$24="yes",R77/SUM(R77:$R$82),Q77/SUM(Q77:$Q$82))),0)</f>
        <v>-420839.83508720319</v>
      </c>
      <c r="P158" s="51">
        <f t="shared" ca="1" si="184"/>
        <v>1917536.9116436278</v>
      </c>
      <c r="Q158" s="123"/>
      <c r="R158" s="51">
        <f t="shared" ca="1" si="185"/>
        <v>-1633436.944200479</v>
      </c>
      <c r="S158" s="51">
        <f t="shared" si="166"/>
        <v>864487.65534853074</v>
      </c>
      <c r="T158" s="51">
        <f t="shared" si="176"/>
        <v>0</v>
      </c>
      <c r="U158" s="51">
        <f t="shared" si="186"/>
        <v>0</v>
      </c>
      <c r="V158" s="51">
        <f t="shared" si="187"/>
        <v>-47558.7904611997</v>
      </c>
      <c r="W158" s="51">
        <f t="shared" ca="1" si="188"/>
        <v>-420839.83508720319</v>
      </c>
      <c r="X158" s="51">
        <f t="shared" ca="1" si="179"/>
        <v>-8634.6718724961665</v>
      </c>
      <c r="Y158" s="51">
        <f t="shared" ca="1" si="190"/>
        <v>-1245982.5862728474</v>
      </c>
      <c r="Z158" s="165"/>
      <c r="AA158" s="51">
        <f t="shared" ca="1" si="169"/>
        <v>591379.62</v>
      </c>
      <c r="AC158" s="51">
        <f t="shared" ca="1" si="170"/>
        <v>1837362.2062728475</v>
      </c>
      <c r="AD158" s="93">
        <f t="shared" ca="1" si="189"/>
        <v>3.1069082263484957</v>
      </c>
      <c r="AF158" s="75"/>
    </row>
    <row r="159" spans="2:32" s="70" customFormat="1" outlineLevel="1" x14ac:dyDescent="0.55000000000000004">
      <c r="B159" s="1" t="s">
        <v>22</v>
      </c>
      <c r="C159" s="3">
        <v>12</v>
      </c>
      <c r="E159" s="51">
        <f t="shared" si="172"/>
        <v>-219879.10299523245</v>
      </c>
      <c r="F159" s="51">
        <f t="shared" si="181"/>
        <v>0</v>
      </c>
      <c r="G159" s="51">
        <f>-(E159+F159)*($F$26="time")*IFERROR(IF($F$27="yes",D51/SUM(D51:$D$55),1/COUNT(D51:$D$55)),0)</f>
        <v>0</v>
      </c>
      <c r="H159" s="51">
        <f>-(E159+F159)*($F$26="policies IF")*IFERROR(IF(C159&lt;$F$8,IF($F$27="yes",H51/SUM(H51:$H$55),F51/SUM(F51:$F$55)),IF($F$27="yes",H78/SUM(H78:$H$82),F78/SUM(F78:$F$82))),0)</f>
        <v>0</v>
      </c>
      <c r="I159" s="51">
        <f>-(E159+F159)*($F$26="risk")*IFERROR(IF(C159&lt;$F$8,IF($F$27="yes",R51/SUM(R51:$R$55),Q51/SUM(Q51:$Q$55)),IF($F$27="yes",R78/SUM(R78:$R$82),Q78/SUM(Q78:$Q$82))),0)</f>
        <v>46322.44008466418</v>
      </c>
      <c r="J159" s="51">
        <f t="shared" si="182"/>
        <v>-173556.66291056827</v>
      </c>
      <c r="K159" s="123"/>
      <c r="L159" s="51">
        <f t="shared" ca="1" si="180"/>
        <v>1917536.9116436278</v>
      </c>
      <c r="M159" s="51">
        <f t="shared" si="174"/>
        <v>0</v>
      </c>
      <c r="N159" s="51">
        <f t="shared" si="183"/>
        <v>0</v>
      </c>
      <c r="O159" s="51">
        <f ca="1">-(L159+M159+N159)*IFERROR(IF(C159&lt;$F$8,IF($F$24="yes",R51/SUM(R51:$R$56),Q51/SUM(Q51:$Q$56)),IF($F$24="yes",R78/SUM(R78:$R$82),Q78/SUM(Q78:$Q$82))),0)</f>
        <v>-407875.31872272043</v>
      </c>
      <c r="P159" s="51">
        <f t="shared" ca="1" si="184"/>
        <v>1509661.5929209073</v>
      </c>
      <c r="Q159" s="123"/>
      <c r="R159" s="51">
        <f t="shared" ca="1" si="185"/>
        <v>-1245982.5862728474</v>
      </c>
      <c r="S159" s="51">
        <f t="shared" si="166"/>
        <v>0</v>
      </c>
      <c r="T159" s="51">
        <f t="shared" si="176"/>
        <v>0</v>
      </c>
      <c r="U159" s="51">
        <f t="shared" si="186"/>
        <v>0</v>
      </c>
      <c r="V159" s="51">
        <f t="shared" si="187"/>
        <v>-46322.44008466418</v>
      </c>
      <c r="W159" s="51">
        <f t="shared" ca="1" si="188"/>
        <v>-407875.31872272043</v>
      </c>
      <c r="X159" s="51">
        <f t="shared" ca="1" si="179"/>
        <v>0</v>
      </c>
      <c r="Y159" s="51">
        <f t="shared" ca="1" si="190"/>
        <v>-1700180.345080232</v>
      </c>
      <c r="Z159" s="165"/>
      <c r="AA159" s="51">
        <f t="shared" ca="1" si="169"/>
        <v>134731.21</v>
      </c>
      <c r="AC159" s="51">
        <f t="shared" ca="1" si="170"/>
        <v>1834911.555080232</v>
      </c>
      <c r="AD159" s="93">
        <f t="shared" ca="1" si="189"/>
        <v>13.619053484936654</v>
      </c>
      <c r="AF159" s="75"/>
    </row>
    <row r="160" spans="2:32" s="70" customFormat="1" outlineLevel="1" x14ac:dyDescent="0.55000000000000004">
      <c r="B160" s="1" t="s">
        <v>23</v>
      </c>
      <c r="C160" s="3">
        <v>13</v>
      </c>
      <c r="E160" s="51">
        <f t="shared" si="172"/>
        <v>-173556.66291056827</v>
      </c>
      <c r="F160" s="51">
        <f t="shared" si="181"/>
        <v>0</v>
      </c>
      <c r="G160" s="51">
        <f>-(E160+F160)*($F$26="time")*IFERROR(IF($F$27="yes",D52/SUM(D52:$D$55),1/COUNT(D52:$D$55)),0)</f>
        <v>0</v>
      </c>
      <c r="H160" s="51">
        <f>-(E160+F160)*($F$26="policies IF")*IFERROR(IF(C160&lt;$F$8,IF($F$27="yes",H52/SUM(H52:$H$55),F52/SUM(F52:$F$55)),IF($F$27="yes",H79/SUM(H79:$H$82),F79/SUM(F79:$F$82))),0)</f>
        <v>0</v>
      </c>
      <c r="I160" s="51">
        <f>-(E160+F160)*($F$26="risk")*IFERROR(IF(C160&lt;$F$8,IF($F$27="yes",R52/SUM(R52:$R$55),Q52/SUM(Q52:$Q$55)),IF($F$27="yes",R79/SUM(R79:$R$82),Q79/SUM(Q79:$Q$82))),0)</f>
        <v>45118.230186024251</v>
      </c>
      <c r="J160" s="51">
        <f t="shared" si="182"/>
        <v>-128438.43272454402</v>
      </c>
      <c r="K160" s="123"/>
      <c r="L160" s="51">
        <f t="shared" ca="1" si="180"/>
        <v>1509661.5929209073</v>
      </c>
      <c r="M160" s="51">
        <f t="shared" si="174"/>
        <v>0</v>
      </c>
      <c r="N160" s="51">
        <f t="shared" si="183"/>
        <v>0</v>
      </c>
      <c r="O160" s="51">
        <f ca="1">-(L160+M160+N160)*IFERROR(IF(C160&lt;$F$8,IF($F$24="yes",R52/SUM(R52:$R$56),Q52/SUM(Q52:$Q$56)),IF($F$24="yes",R79/SUM(R79:$R$82),Q79/SUM(Q79:$Q$82))),0)</f>
        <v>-395310.19108181255</v>
      </c>
      <c r="P160" s="51">
        <f t="shared" ca="1" si="184"/>
        <v>1114351.4018390947</v>
      </c>
      <c r="Q160" s="123"/>
      <c r="R160" s="51">
        <f t="shared" ca="1" si="185"/>
        <v>-1700180.345080232</v>
      </c>
      <c r="S160" s="51">
        <f t="shared" si="166"/>
        <v>820125.00000000012</v>
      </c>
      <c r="T160" s="51">
        <f t="shared" si="176"/>
        <v>0</v>
      </c>
      <c r="U160" s="51">
        <f t="shared" si="186"/>
        <v>0</v>
      </c>
      <c r="V160" s="51">
        <f t="shared" si="187"/>
        <v>-45118.230186024251</v>
      </c>
      <c r="W160" s="51">
        <f t="shared" ca="1" si="188"/>
        <v>-395310.19108181255</v>
      </c>
      <c r="X160" s="51">
        <f t="shared" ca="1" si="179"/>
        <v>-7771.2046852465937</v>
      </c>
      <c r="Y160" s="51">
        <f t="shared" ca="1" si="190"/>
        <v>-1328254.9710333152</v>
      </c>
      <c r="Z160" s="165"/>
      <c r="AA160" s="51">
        <f t="shared" ca="1" si="169"/>
        <v>502380.59</v>
      </c>
      <c r="AC160" s="51">
        <f t="shared" ca="1" si="170"/>
        <v>1830635.5610333153</v>
      </c>
      <c r="AD160" s="93">
        <f t="shared" ca="1" si="189"/>
        <v>3.6439217546866511</v>
      </c>
      <c r="AF160" s="75"/>
    </row>
    <row r="161" spans="2:33" s="70" customFormat="1" outlineLevel="1" x14ac:dyDescent="0.55000000000000004">
      <c r="B161" s="1" t="s">
        <v>24</v>
      </c>
      <c r="C161" s="3">
        <v>14</v>
      </c>
      <c r="E161" s="51">
        <f t="shared" si="172"/>
        <v>-128438.43272454402</v>
      </c>
      <c r="F161" s="51">
        <f t="shared" si="181"/>
        <v>0</v>
      </c>
      <c r="G161" s="51">
        <f>-(E161+F161)*($F$26="time")*IFERROR(IF($F$27="yes",D53/SUM(D53:$D$55),1/COUNT(D53:$D$55)),0)</f>
        <v>0</v>
      </c>
      <c r="H161" s="51">
        <f>-(E161+F161)*($F$26="policies IF")*IFERROR(IF(C161&lt;$F$8,IF($F$27="yes",H53/SUM(H53:$H$55),F53/SUM(F53:$F$55)),IF($F$27="yes",H80/SUM(H80:$H$82),F80/SUM(F80:$F$82))),0)</f>
        <v>0</v>
      </c>
      <c r="I161" s="51">
        <f>-(E161+F161)*($F$26="risk")*IFERROR(IF(C161&lt;$F$8,IF($F$27="yes",R53/SUM(R53:$R$55),Q53/SUM(Q53:$Q$55)),IF($F$27="yes",R80/SUM(R80:$R$82),Q80/SUM(Q80:$Q$82))),0)</f>
        <v>43945.325233266529</v>
      </c>
      <c r="J161" s="51">
        <f t="shared" si="182"/>
        <v>-84493.107491277493</v>
      </c>
      <c r="K161" s="123"/>
      <c r="L161" s="51">
        <f t="shared" ca="1" si="180"/>
        <v>1114351.4018390947</v>
      </c>
      <c r="M161" s="51">
        <f t="shared" si="174"/>
        <v>0</v>
      </c>
      <c r="N161" s="51">
        <f t="shared" si="183"/>
        <v>0</v>
      </c>
      <c r="O161" s="51">
        <f ca="1">-(L161+M161+N161)*IFERROR(IF(C161&lt;$F$8,IF($F$24="yes",R53/SUM(R53:$R$56),Q53/SUM(Q53:$Q$56)),IF($F$24="yes",R80/SUM(R80:$R$82),Q80/SUM(Q80:$Q$82))),0)</f>
        <v>-383132.14847739751</v>
      </c>
      <c r="P161" s="51">
        <f t="shared" ca="1" si="184"/>
        <v>731219.25336169719</v>
      </c>
      <c r="Q161" s="123"/>
      <c r="R161" s="51">
        <f t="shared" ca="1" si="185"/>
        <v>-1328254.9710333152</v>
      </c>
      <c r="S161" s="51">
        <f t="shared" si="166"/>
        <v>0</v>
      </c>
      <c r="T161" s="51">
        <f t="shared" si="176"/>
        <v>0</v>
      </c>
      <c r="U161" s="51">
        <f t="shared" si="186"/>
        <v>0</v>
      </c>
      <c r="V161" s="51">
        <f t="shared" si="187"/>
        <v>-43945.325233266529</v>
      </c>
      <c r="W161" s="51">
        <f t="shared" ca="1" si="188"/>
        <v>-383132.14847739751</v>
      </c>
      <c r="X161" s="51">
        <f t="shared" ca="1" si="179"/>
        <v>0</v>
      </c>
      <c r="Y161" s="51">
        <f t="shared" ca="1" si="190"/>
        <v>-1755332.4447439793</v>
      </c>
      <c r="Z161" s="165"/>
      <c r="AA161" s="51">
        <f t="shared" ca="1" si="169"/>
        <v>67304.42</v>
      </c>
      <c r="AC161" s="51">
        <f t="shared" ca="1" si="170"/>
        <v>1822636.8647439792</v>
      </c>
      <c r="AD161" s="93">
        <f t="shared" ca="1" si="189"/>
        <v>27.080492852385909</v>
      </c>
      <c r="AF161" s="75"/>
    </row>
    <row r="162" spans="2:33" s="70" customFormat="1" outlineLevel="1" x14ac:dyDescent="0.55000000000000004">
      <c r="B162" s="1" t="s">
        <v>25</v>
      </c>
      <c r="C162" s="3">
        <v>15</v>
      </c>
      <c r="E162" s="51">
        <f t="shared" si="172"/>
        <v>-84493.107491277493</v>
      </c>
      <c r="F162" s="51">
        <f t="shared" si="181"/>
        <v>0</v>
      </c>
      <c r="G162" s="51">
        <f>-(E162+F162)*($F$26="time")*IFERROR(IF($F$27="yes",D54/SUM(D54:$D$55),1/COUNT(D54:$D$55)),0)</f>
        <v>0</v>
      </c>
      <c r="H162" s="51">
        <f>-(E162+F162)*($F$26="policies IF")*IFERROR(IF(C162&lt;$F$8,IF($F$27="yes",H54/SUM(H54:$H$55),F54/SUM(F54:$F$55)),IF($F$27="yes",H81/SUM(H81:$H$82),F81/SUM(F81:$F$82))),0)</f>
        <v>0</v>
      </c>
      <c r="I162" s="51">
        <f>-(E162+F162)*($F$26="risk")*IFERROR(IF(C162&lt;$F$8,IF($F$27="yes",R54/SUM(R54:$R$55),Q54/SUM(Q54:$Q$55)),IF($F$27="yes",R81/SUM(R81:$R$82),Q81/SUM(Q81:$Q$82))),0)</f>
        <v>42802.911415079732</v>
      </c>
      <c r="J162" s="51">
        <f t="shared" si="182"/>
        <v>-41690.196076197761</v>
      </c>
      <c r="K162" s="123"/>
      <c r="L162" s="51">
        <f t="shared" ca="1" si="180"/>
        <v>731219.25336169719</v>
      </c>
      <c r="M162" s="51">
        <f t="shared" si="174"/>
        <v>0</v>
      </c>
      <c r="N162" s="51">
        <f t="shared" si="183"/>
        <v>0</v>
      </c>
      <c r="O162" s="51">
        <f ca="1">-(L162+M162+N162)*IFERROR(IF(C162&lt;$F$8,IF($F$24="yes",R54/SUM(R54:$R$56),Q54/SUM(Q54:$Q$56)),IF($F$24="yes",R81/SUM(R81:$R$82),Q81/SUM(Q81:$Q$82))),0)</f>
        <v>-371329.26625341451</v>
      </c>
      <c r="P162" s="51">
        <f t="shared" ca="1" si="184"/>
        <v>359889.98710828269</v>
      </c>
      <c r="Q162" s="123"/>
      <c r="R162" s="51">
        <f t="shared" ca="1" si="185"/>
        <v>-1755332.4447439793</v>
      </c>
      <c r="S162" s="51">
        <f t="shared" si="166"/>
        <v>778038.88981367764</v>
      </c>
      <c r="T162" s="51">
        <f t="shared" si="176"/>
        <v>0</v>
      </c>
      <c r="U162" s="51">
        <f t="shared" si="186"/>
        <v>0</v>
      </c>
      <c r="V162" s="51">
        <f t="shared" si="187"/>
        <v>-42802.911415079732</v>
      </c>
      <c r="W162" s="51">
        <f t="shared" ca="1" si="188"/>
        <v>-371329.26625341451</v>
      </c>
      <c r="X162" s="51">
        <f t="shared" ca="1" si="179"/>
        <v>-6994.0842167218816</v>
      </c>
      <c r="Y162" s="51">
        <f t="shared" ca="1" si="190"/>
        <v>-1398419.8168155176</v>
      </c>
      <c r="Z162" s="165"/>
      <c r="AA162" s="51">
        <f t="shared" ca="1" si="169"/>
        <v>414606.2</v>
      </c>
      <c r="AC162" s="51">
        <f t="shared" ca="1" si="170"/>
        <v>1813026.0168155176</v>
      </c>
      <c r="AD162" s="93">
        <f t="shared" ca="1" si="189"/>
        <v>4.3728868907785685</v>
      </c>
      <c r="AF162" s="75"/>
    </row>
    <row r="163" spans="2:33" s="70" customFormat="1" outlineLevel="1" x14ac:dyDescent="0.55000000000000004">
      <c r="B163" s="1" t="s">
        <v>26</v>
      </c>
      <c r="C163" s="3">
        <v>16</v>
      </c>
      <c r="E163" s="51">
        <f t="shared" si="172"/>
        <v>-41690.196076197761</v>
      </c>
      <c r="F163" s="51">
        <f t="shared" si="181"/>
        <v>0</v>
      </c>
      <c r="G163" s="51">
        <f>-(E163+F163)*($F$26="time")*IFERROR(IF($F$27="yes",D55/SUM(D55:$D$55),1/COUNT(D55:$D$55)),0)</f>
        <v>0</v>
      </c>
      <c r="H163" s="51">
        <f>-(E163+F163)*($F$26="policies IF")*IFERROR(IF(C163&lt;$F$8,IF($F$27="yes",H55/SUM(H55:$H$55),F55/SUM(F55:$F$55)),IF($F$27="yes",H82/SUM(H82:$H$82),F82/SUM(F82:$F$82))),0)</f>
        <v>0</v>
      </c>
      <c r="I163" s="51">
        <f>-(E163+F163)*($F$26="risk")*IFERROR(IF(C163&lt;$F$8,IF($F$27="yes",R55/SUM(R55:$R$55),Q55/SUM(Q55:$Q$55)),IF($F$27="yes",R82/SUM(R82:$R$82),Q82/SUM(Q82:$Q$82))),0)</f>
        <v>41690.196076197761</v>
      </c>
      <c r="J163" s="51">
        <f t="shared" si="182"/>
        <v>0</v>
      </c>
      <c r="K163" s="123"/>
      <c r="L163" s="51">
        <f t="shared" ca="1" si="180"/>
        <v>359889.98710828269</v>
      </c>
      <c r="M163" s="51">
        <f t="shared" si="174"/>
        <v>0</v>
      </c>
      <c r="N163" s="51">
        <f t="shared" si="183"/>
        <v>0</v>
      </c>
      <c r="O163" s="51">
        <f ca="1">-(L163+M163+N163)*IFERROR(IF(C163&lt;$F$8,IF($F$24="yes",R55/SUM(R55:$R$56),Q55/SUM(Q55:$Q$56)),IF($F$24="yes",R82/SUM(R82:$R$82),Q82/SUM(Q82:$Q$82))),0)</f>
        <v>-359889.98710828269</v>
      </c>
      <c r="P163" s="51">
        <f t="shared" ca="1" si="184"/>
        <v>0</v>
      </c>
      <c r="Q163" s="123"/>
      <c r="R163" s="51">
        <f t="shared" ca="1" si="185"/>
        <v>-1398419.8168155176</v>
      </c>
      <c r="S163" s="51">
        <f t="shared" si="166"/>
        <v>0</v>
      </c>
      <c r="T163" s="51">
        <f t="shared" si="176"/>
        <v>0</v>
      </c>
      <c r="U163" s="51">
        <f t="shared" si="186"/>
        <v>0</v>
      </c>
      <c r="V163" s="51">
        <f t="shared" si="187"/>
        <v>-41690.196076197761</v>
      </c>
      <c r="W163" s="51">
        <f t="shared" ca="1" si="188"/>
        <v>-359889.98710828269</v>
      </c>
      <c r="X163" s="51">
        <f t="shared" ca="1" si="179"/>
        <v>0</v>
      </c>
      <c r="Y163" s="51">
        <f t="shared" ca="1" si="190"/>
        <v>-1799999.9999999981</v>
      </c>
      <c r="Z163" s="165"/>
      <c r="AA163" s="51">
        <f t="shared" ca="1" si="169"/>
        <v>0</v>
      </c>
      <c r="AC163" s="51">
        <f t="shared" ca="1" si="170"/>
        <v>1799999.9999999981</v>
      </c>
      <c r="AD163" s="93">
        <f t="shared" ca="1" si="189"/>
        <v>0</v>
      </c>
      <c r="AF163" s="75"/>
    </row>
    <row r="164" spans="2:33" s="70" customFormat="1" outlineLevel="1" x14ac:dyDescent="0.55000000000000004">
      <c r="B164" s="120"/>
      <c r="C164" s="71"/>
      <c r="E164" s="71"/>
      <c r="F164" s="71"/>
      <c r="G164" s="71"/>
      <c r="H164" s="71"/>
      <c r="I164" s="71"/>
      <c r="J164" s="71"/>
      <c r="L164" s="77"/>
      <c r="M164" s="77"/>
      <c r="N164" s="77"/>
      <c r="O164" s="77"/>
      <c r="P164" s="77"/>
      <c r="Q164" s="55"/>
      <c r="R164" s="67"/>
      <c r="S164" s="67"/>
      <c r="T164" s="67"/>
      <c r="U164" s="67"/>
      <c r="V164" s="67"/>
      <c r="W164" s="67"/>
      <c r="X164" s="67"/>
      <c r="Y164" s="67"/>
      <c r="Z164" s="165"/>
      <c r="AA164" s="121"/>
      <c r="AC164" s="67"/>
      <c r="AD164" s="69"/>
      <c r="AF164" s="75"/>
    </row>
    <row r="165" spans="2:33" s="70" customFormat="1" outlineLevel="1" x14ac:dyDescent="0.55000000000000004">
      <c r="B165" s="51"/>
      <c r="C165" s="51"/>
      <c r="I165" s="51"/>
      <c r="L165" s="51"/>
      <c r="M165" s="51"/>
      <c r="N165" s="51"/>
      <c r="O165" s="51"/>
      <c r="Q165" s="51"/>
      <c r="R165" s="51"/>
      <c r="S165" s="51"/>
      <c r="T165" s="51"/>
      <c r="U165" s="51"/>
      <c r="V165" s="51"/>
      <c r="W165" s="51"/>
      <c r="X165" s="51"/>
      <c r="Y165" s="51"/>
      <c r="Z165" s="165"/>
      <c r="AA165" s="55"/>
      <c r="AC165" s="51"/>
      <c r="AD165" s="55"/>
      <c r="AF165" s="75"/>
    </row>
    <row r="166" spans="2:33" s="70" customFormat="1" outlineLevel="1" x14ac:dyDescent="0.55000000000000004">
      <c r="B166" s="52"/>
      <c r="C166" s="52"/>
      <c r="F166" s="52">
        <f t="shared" ref="F166:O166" si="191">SUM(F148:F163)</f>
        <v>0</v>
      </c>
      <c r="G166" s="52">
        <f t="shared" si="191"/>
        <v>0</v>
      </c>
      <c r="H166" s="52">
        <f t="shared" si="191"/>
        <v>0</v>
      </c>
      <c r="I166" s="52">
        <f t="shared" si="191"/>
        <v>900000</v>
      </c>
      <c r="J166" s="52"/>
      <c r="K166" s="52"/>
      <c r="L166" s="52"/>
      <c r="M166" s="52">
        <f t="shared" ca="1" si="191"/>
        <v>984979.80890313722</v>
      </c>
      <c r="N166" s="52">
        <f t="shared" si="191"/>
        <v>0</v>
      </c>
      <c r="O166" s="52">
        <f t="shared" ca="1" si="191"/>
        <v>-7149373.1065043397</v>
      </c>
      <c r="P166" s="52"/>
      <c r="Q166" s="52"/>
      <c r="R166" s="52"/>
      <c r="S166" s="52">
        <f t="shared" ref="S166:X166" si="192">SUM(S148:S163)</f>
        <v>7210116.6069370387</v>
      </c>
      <c r="T166" s="52">
        <f t="shared" si="192"/>
        <v>-900000</v>
      </c>
      <c r="U166" s="52">
        <f t="shared" si="192"/>
        <v>0</v>
      </c>
      <c r="V166" s="52">
        <f t="shared" si="192"/>
        <v>-900000</v>
      </c>
      <c r="W166" s="52">
        <f t="shared" ca="1" si="192"/>
        <v>-7149373.1065043397</v>
      </c>
      <c r="X166" s="52">
        <f t="shared" ca="1" si="192"/>
        <v>-60743.500432697976</v>
      </c>
      <c r="Y166" s="52"/>
      <c r="Z166" s="167"/>
      <c r="AB166" s="122" t="s">
        <v>148</v>
      </c>
      <c r="AC166" s="52">
        <f ca="1">AVERAGE(AC148:AC163)</f>
        <v>1837843.7474463983</v>
      </c>
      <c r="AD166" s="74">
        <f ca="1">AVERAGE(AD148:AD163)</f>
        <v>5.4454892657835936</v>
      </c>
      <c r="AF166" s="75"/>
    </row>
    <row r="167" spans="2:33" s="70" customFormat="1" x14ac:dyDescent="0.55000000000000004">
      <c r="B167" s="51"/>
      <c r="C167" s="51"/>
      <c r="D167" s="51"/>
      <c r="E167" s="51"/>
      <c r="F167" s="51"/>
      <c r="G167" s="51"/>
      <c r="H167" s="51"/>
      <c r="I167" s="51"/>
      <c r="J167" s="51"/>
      <c r="K167" s="51"/>
      <c r="L167" s="51"/>
      <c r="M167" s="52"/>
      <c r="N167" s="52"/>
      <c r="O167" s="52"/>
      <c r="P167" s="52"/>
      <c r="Q167" s="52"/>
      <c r="R167" s="52"/>
      <c r="S167" s="52"/>
      <c r="T167" s="52"/>
      <c r="U167" s="52"/>
      <c r="V167" s="51"/>
      <c r="AF167" s="75"/>
    </row>
    <row r="168" spans="2:33" s="70" customFormat="1" x14ac:dyDescent="0.55000000000000004">
      <c r="B168" s="51"/>
      <c r="C168" s="51"/>
      <c r="D168" s="51"/>
      <c r="E168" s="51"/>
      <c r="F168" s="51"/>
      <c r="G168" s="51"/>
      <c r="H168" s="51"/>
      <c r="I168" s="51"/>
      <c r="J168" s="51"/>
      <c r="K168" s="51"/>
      <c r="L168" s="51"/>
      <c r="M168" s="52"/>
      <c r="N168" s="52"/>
      <c r="O168" s="52"/>
      <c r="P168" s="52"/>
      <c r="Q168" s="52"/>
      <c r="R168" s="52"/>
      <c r="S168" s="52"/>
      <c r="T168" s="52"/>
      <c r="U168" s="52"/>
      <c r="V168" s="51"/>
      <c r="AF168" s="75"/>
    </row>
    <row r="169" spans="2:33" x14ac:dyDescent="0.55000000000000004">
      <c r="D169" s="51"/>
      <c r="AF169" s="11"/>
      <c r="AG169"/>
    </row>
    <row r="170" spans="2:33" x14ac:dyDescent="0.55000000000000004">
      <c r="D170" s="55"/>
      <c r="AF170" s="11"/>
      <c r="AG170"/>
    </row>
    <row r="171" spans="2:33" x14ac:dyDescent="0.55000000000000004">
      <c r="D171" s="51"/>
    </row>
    <row r="172" spans="2:33" x14ac:dyDescent="0.55000000000000004">
      <c r="D172" s="51"/>
    </row>
    <row r="173" spans="2:33" x14ac:dyDescent="0.55000000000000004">
      <c r="D173" s="51"/>
      <c r="E173" s="55"/>
      <c r="F173" s="55"/>
      <c r="G173" s="55"/>
      <c r="H173" s="70"/>
      <c r="I173" s="70"/>
      <c r="J173" s="70"/>
      <c r="K173" s="70"/>
    </row>
  </sheetData>
  <sheetProtection algorithmName="SHA-512" hashValue="DLdOTJhMgWUokRc/cDZ+7JqCb1cwZN4Mj4efbCbm2mb169ccks2C+gTSxvogZh9TNfYi/++8DLweTuL4R+Nkjg==" saltValue="oHXBC2+376MjD1O3O+8zQQ==" spinCount="100000" sheet="1" objects="1" scenarios="1"/>
  <protectedRanges>
    <protectedRange sqref="J67:J82 O67:O82 T67:T82" name="Range8"/>
    <protectedRange sqref="F21:F29" name="Range6"/>
    <protectedRange sqref="G14" name="Range4"/>
    <protectedRange sqref="F11:F14" name="Range2"/>
    <protectedRange sqref="F8" name="Range1"/>
    <protectedRange sqref="G11:G12" name="Range3"/>
    <protectedRange sqref="F17:G19" name="Range5"/>
    <protectedRange sqref="J40:J55 O40:O55 T40:T55" name="Range7"/>
  </protectedRanges>
  <mergeCells count="39">
    <mergeCell ref="T90:U90"/>
    <mergeCell ref="AK36:AL36"/>
    <mergeCell ref="AN36:AO36"/>
    <mergeCell ref="AD63:AI63"/>
    <mergeCell ref="AK63:AL63"/>
    <mergeCell ref="AN63:AO63"/>
    <mergeCell ref="AD36:AI36"/>
    <mergeCell ref="B36:D36"/>
    <mergeCell ref="F36:H36"/>
    <mergeCell ref="J36:M36"/>
    <mergeCell ref="O36:R36"/>
    <mergeCell ref="W36:AB36"/>
    <mergeCell ref="T36:U36"/>
    <mergeCell ref="AQ63:AS63"/>
    <mergeCell ref="B90:D90"/>
    <mergeCell ref="F90:H90"/>
    <mergeCell ref="J90:M90"/>
    <mergeCell ref="O90:R90"/>
    <mergeCell ref="W90:AB90"/>
    <mergeCell ref="AD90:AI90"/>
    <mergeCell ref="AK90:AL90"/>
    <mergeCell ref="AN90:AO90"/>
    <mergeCell ref="AQ90:AS90"/>
    <mergeCell ref="B63:D63"/>
    <mergeCell ref="F63:H63"/>
    <mergeCell ref="J63:M63"/>
    <mergeCell ref="O63:R63"/>
    <mergeCell ref="W63:AB63"/>
    <mergeCell ref="T63:U63"/>
    <mergeCell ref="AE117:AK117"/>
    <mergeCell ref="B144:C144"/>
    <mergeCell ref="E144:J144"/>
    <mergeCell ref="L144:P144"/>
    <mergeCell ref="AC144:AD144"/>
    <mergeCell ref="B117:C117"/>
    <mergeCell ref="E117:M117"/>
    <mergeCell ref="O117:U117"/>
    <mergeCell ref="R144:Y144"/>
    <mergeCell ref="W117:AC117"/>
  </mergeCells>
  <phoneticPr fontId="23" type="noConversion"/>
  <dataValidations count="14">
    <dataValidation type="decimal" operator="greaterThanOrEqual" allowBlank="1" showInputMessage="1" showErrorMessage="1" error="Claims ratio cannot be negative" sqref="F11:G11" xr:uid="{15641793-9744-418E-BC9C-4A23CE53B8B6}">
      <formula1>0</formula1>
    </dataValidation>
    <dataValidation type="list" allowBlank="1" showInputMessage="1" showErrorMessage="1" sqref="F8" xr:uid="{5B8C486B-3AA5-494D-A952-88E859952350}">
      <formula1>$C$40:$C$55</formula1>
    </dataValidation>
    <dataValidation type="decimal" allowBlank="1" showInputMessage="1" showErrorMessage="1" error="Lapsre ratio should be between 0 and 100%" sqref="F19:G19" xr:uid="{864415B3-7E5C-4E12-A333-1CAC80826614}">
      <formula1>0</formula1>
      <formula2>1</formula2>
    </dataValidation>
    <dataValidation type="list" operator="greaterThanOrEqual" allowBlank="1" showInputMessage="1" showErrorMessage="1" error="Discount rate cannot be negative" sqref="F26" xr:uid="{A20F23CB-5507-4493-931D-6CEB96387D20}">
      <formula1>"time, policies IF, risk, immediate"</formula1>
    </dataValidation>
    <dataValidation type="list" operator="greaterThanOrEqual" allowBlank="1" showInputMessage="1" showErrorMessage="1" error="Discount rate cannot be negative" sqref="F23:F25 F27 F29" xr:uid="{4167310E-EF3C-490F-93C1-6460DE503E6E}">
      <formula1>"yes, no"</formula1>
    </dataValidation>
    <dataValidation type="decimal" operator="greaterThan" allowBlank="1" showInputMessage="1" showErrorMessage="1" error="Coverage units have to be greater than zero" sqref="O67:O82 O94:O109 O40:O55 J40:M55 J67:M82 J94:M109 T40:T60 T94:T109" xr:uid="{3E86C051-7F97-4B02-823B-FA4E6E11AB8A}">
      <formula1>0</formula1>
    </dataValidation>
    <dataValidation type="decimal" operator="greaterThan" allowBlank="1" showInputMessage="1" showErrorMessage="1" error="Risk distribution weights have to be greater than zero" sqref="P40:Q55 P67:Q82 P94:Q109 U40:U60 U67:U87 U94:U109" xr:uid="{06B9E000-CE3D-4F27-B4CF-3CCA857DA134}">
      <formula1>0</formula1>
    </dataValidation>
    <dataValidation type="decimal" operator="greaterThanOrEqual" allowBlank="1" showInputMessage="1" showErrorMessage="1" error="Discount rate cannot be negative" sqref="F17:G18" xr:uid="{604568C1-BBFA-400B-81F7-92E83EE2F7BF}">
      <formula1>0</formula1>
    </dataValidation>
    <dataValidation type="decimal" operator="greaterThan" allowBlank="1" showInputMessage="1" showErrorMessage="1" error="Total premiums have to be greater than zero" sqref="F21" xr:uid="{65071387-9E88-4E2F-9F41-7686E5DDDC53}">
      <formula1>0</formula1>
    </dataValidation>
    <dataValidation type="decimal" operator="greaterThanOrEqual" allowBlank="1" showInputMessage="1" showErrorMessage="1" error="Risk adjustment percentage cannot be negative" sqref="F14:G14" xr:uid="{A193C18E-CFFF-40B8-8BA9-B66440631890}">
      <formula1>0</formula1>
    </dataValidation>
    <dataValidation type="decimal" operator="greaterThanOrEqual" allowBlank="1" showInputMessage="1" showErrorMessage="1" error="Acquisition cost ratio cannot be negative" sqref="G13" xr:uid="{B30E7CCF-2951-442D-9B36-85EF37E9D552}">
      <formula1>0</formula1>
    </dataValidation>
    <dataValidation type="decimal" operator="greaterThanOrEqual" allowBlank="1" showInputMessage="1" showErrorMessage="1" error="Expense ratio cannot be negative" sqref="F12:G12" xr:uid="{AE2787A1-E302-4611-96BB-6D89B0239024}">
      <formula1>0</formula1>
    </dataValidation>
    <dataValidation type="list" allowBlank="1" showInputMessage="1" showErrorMessage="1" sqref="F22" xr:uid="{B657F219-C3EA-40C8-8955-0BD5785BCC61}">
      <formula1>"single,annual,semi-ann,quarterly,pattern"</formula1>
    </dataValidation>
    <dataValidation type="list" operator="greaterThanOrEqual" allowBlank="1" showInputMessage="1" showErrorMessage="1" error="Discount rate cannot be negative" sqref="F28" xr:uid="{C356838B-5408-41F0-945C-35B5EDD1B278}">
      <formula1>"time, policies IF, risk"</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0EBA8-5C1B-4429-BE60-37C9585FC40B}">
  <sheetPr>
    <tabColor theme="4" tint="-0.249977111117893"/>
  </sheetPr>
  <dimension ref="A5:BK192"/>
  <sheetViews>
    <sheetView showGridLines="0" zoomScale="70" zoomScaleNormal="70" workbookViewId="0">
      <pane ySplit="3" topLeftCell="A4" activePane="bottomLeft" state="frozen"/>
      <selection pane="bottomLeft" activeCell="A32" sqref="A32"/>
    </sheetView>
  </sheetViews>
  <sheetFormatPr defaultRowHeight="14.4" outlineLevelRow="1" x14ac:dyDescent="0.55000000000000004"/>
  <cols>
    <col min="1" max="1" width="5.578125" customWidth="1"/>
    <col min="2" max="32" width="12.68359375" customWidth="1"/>
    <col min="33" max="33" width="12.68359375" style="11" customWidth="1"/>
    <col min="34" max="45" width="12.68359375" customWidth="1"/>
    <col min="46" max="67" width="9.15625" customWidth="1"/>
  </cols>
  <sheetData>
    <row r="5" spans="2:63" ht="18.3" x14ac:dyDescent="0.7">
      <c r="B5" s="2"/>
      <c r="C5" s="2"/>
      <c r="D5" s="2"/>
      <c r="E5" s="2"/>
      <c r="F5" s="2"/>
      <c r="G5" s="2"/>
      <c r="H5" s="2"/>
      <c r="I5" s="2"/>
      <c r="J5" s="2"/>
      <c r="K5" s="96"/>
      <c r="L5" s="2"/>
      <c r="M5" s="2"/>
      <c r="N5" s="2"/>
      <c r="O5" s="2"/>
      <c r="P5" s="2"/>
      <c r="Q5" s="2"/>
      <c r="R5" s="2"/>
      <c r="S5" s="2"/>
      <c r="T5" s="2"/>
      <c r="U5" s="2"/>
      <c r="V5" s="2"/>
      <c r="W5" s="2"/>
      <c r="X5" s="2"/>
      <c r="Y5" s="2"/>
      <c r="Z5" s="2"/>
      <c r="AA5" s="127"/>
      <c r="AB5" s="127"/>
      <c r="AC5" s="127"/>
      <c r="AD5" s="127"/>
      <c r="AE5" s="127"/>
      <c r="AF5" s="127"/>
      <c r="AG5" s="127"/>
      <c r="AH5" s="127"/>
      <c r="AI5" s="127"/>
      <c r="AJ5" s="127"/>
      <c r="AK5" s="127"/>
      <c r="AL5" s="127"/>
      <c r="AM5" s="127"/>
      <c r="AN5" s="127"/>
      <c r="AO5" s="2"/>
      <c r="AP5" s="2"/>
      <c r="AQ5" s="2"/>
      <c r="AR5" s="2"/>
      <c r="AS5" s="2"/>
      <c r="AT5" s="2"/>
      <c r="AU5" s="2"/>
      <c r="AV5" s="2"/>
      <c r="AW5" s="2"/>
      <c r="AX5" s="2"/>
      <c r="AY5" s="2"/>
      <c r="AZ5" s="2"/>
      <c r="BA5" s="2"/>
      <c r="BB5" s="2"/>
      <c r="BC5" s="2"/>
      <c r="BD5" s="2"/>
      <c r="BE5" s="2"/>
      <c r="BF5" s="2"/>
      <c r="BG5" s="2"/>
      <c r="BH5" s="2"/>
      <c r="BI5" s="2"/>
      <c r="BJ5" s="2"/>
      <c r="BK5" s="2"/>
    </row>
    <row r="6" spans="2:63" x14ac:dyDescent="0.55000000000000004">
      <c r="B6" s="2"/>
      <c r="C6" s="2"/>
      <c r="D6" s="2"/>
      <c r="E6" s="2"/>
      <c r="F6" s="2"/>
      <c r="G6" s="2"/>
      <c r="H6" s="2"/>
      <c r="I6" s="2"/>
      <c r="J6" s="2"/>
      <c r="K6" s="2"/>
      <c r="L6" s="2"/>
      <c r="M6" s="2"/>
      <c r="N6" s="2"/>
      <c r="O6" s="2"/>
      <c r="P6" s="2"/>
      <c r="Q6" s="2"/>
      <c r="R6" s="2"/>
      <c r="S6" s="2"/>
      <c r="T6" s="2"/>
      <c r="U6" s="2"/>
      <c r="V6" s="2"/>
      <c r="W6" s="2"/>
      <c r="X6" s="2"/>
      <c r="Y6" s="2"/>
      <c r="Z6" s="2"/>
      <c r="AA6" s="127"/>
      <c r="AB6" s="127"/>
      <c r="AC6" s="127"/>
      <c r="AD6" s="127"/>
      <c r="AE6" s="127"/>
      <c r="AF6" s="127"/>
      <c r="AG6" s="127"/>
      <c r="AH6" s="127"/>
      <c r="AI6" s="127"/>
      <c r="AJ6" s="127"/>
      <c r="AK6" s="127"/>
      <c r="AL6" s="127"/>
      <c r="AM6" s="127"/>
      <c r="AN6" s="127"/>
      <c r="AO6" s="2"/>
      <c r="AP6" s="2"/>
      <c r="AQ6" s="2"/>
      <c r="AR6" s="2"/>
      <c r="AS6" s="2"/>
      <c r="AT6" s="2"/>
      <c r="AU6" s="2"/>
      <c r="AV6" s="2"/>
      <c r="AW6" s="2"/>
      <c r="AX6" s="2"/>
      <c r="AY6" s="2"/>
      <c r="AZ6" s="2"/>
      <c r="BA6" s="2"/>
      <c r="BB6" s="2"/>
      <c r="BC6" s="2"/>
      <c r="BD6" s="2"/>
      <c r="BE6" s="2"/>
      <c r="BF6" s="2"/>
      <c r="BG6" s="2"/>
      <c r="BH6" s="2"/>
      <c r="BI6" s="2"/>
      <c r="BJ6" s="2"/>
      <c r="BK6" s="2"/>
    </row>
    <row r="7" spans="2:63" x14ac:dyDescent="0.55000000000000004">
      <c r="B7" s="140" t="s">
        <v>155</v>
      </c>
      <c r="C7" s="2"/>
      <c r="D7" s="2"/>
      <c r="E7" s="2"/>
      <c r="F7" s="106">
        <v>5</v>
      </c>
      <c r="G7" s="106"/>
      <c r="H7" s="2"/>
      <c r="I7" s="2"/>
      <c r="J7" s="2"/>
      <c r="K7" s="2"/>
      <c r="L7" s="2"/>
      <c r="M7" s="2"/>
      <c r="N7" s="2"/>
      <c r="O7" s="2"/>
      <c r="P7" s="2"/>
      <c r="Q7" s="2"/>
      <c r="R7" s="2"/>
      <c r="S7" s="2"/>
      <c r="T7" s="2"/>
      <c r="U7" s="2"/>
      <c r="V7" s="2"/>
      <c r="W7" s="2"/>
      <c r="X7" s="2"/>
      <c r="Y7" s="2"/>
      <c r="Z7" s="2"/>
      <c r="AA7" s="127"/>
      <c r="AB7" s="127"/>
      <c r="AC7" s="127"/>
      <c r="AD7" s="127"/>
      <c r="AE7" s="127"/>
      <c r="AF7" s="127"/>
      <c r="AG7" s="127"/>
      <c r="AH7" s="127"/>
      <c r="AI7" s="127"/>
      <c r="AJ7" s="127"/>
      <c r="AK7" s="127"/>
      <c r="AL7" s="127"/>
      <c r="AM7" s="127"/>
      <c r="AN7" s="127"/>
      <c r="AO7" s="2"/>
      <c r="AP7" s="2"/>
      <c r="AQ7" s="2"/>
      <c r="AR7" s="2"/>
      <c r="AS7" s="2"/>
      <c r="AT7" s="2"/>
      <c r="AU7" s="2"/>
      <c r="AV7" s="2"/>
      <c r="AW7" s="2"/>
      <c r="AX7" s="2"/>
      <c r="AY7" s="2"/>
      <c r="AZ7" s="2"/>
      <c r="BA7" s="2"/>
      <c r="BB7" s="2"/>
      <c r="BC7" s="2"/>
      <c r="BD7" s="2"/>
      <c r="BE7" s="2"/>
      <c r="BF7" s="2"/>
      <c r="BG7" s="2"/>
      <c r="BH7" s="2"/>
      <c r="BI7" s="2"/>
      <c r="BJ7" s="2"/>
      <c r="BK7" s="2"/>
    </row>
    <row r="8" spans="2:63" x14ac:dyDescent="0.55000000000000004">
      <c r="B8" s="140" t="s">
        <v>162</v>
      </c>
      <c r="C8" s="2"/>
      <c r="D8" s="2"/>
      <c r="E8" s="2"/>
      <c r="F8" s="131">
        <v>7</v>
      </c>
      <c r="G8" s="106"/>
      <c r="H8" s="2"/>
      <c r="I8" s="2"/>
      <c r="J8" s="2"/>
      <c r="K8" s="2"/>
      <c r="L8" s="2"/>
      <c r="M8" s="2"/>
      <c r="N8" s="2"/>
      <c r="O8" s="2"/>
      <c r="P8" s="2"/>
      <c r="Q8" s="2"/>
      <c r="R8" s="2"/>
      <c r="S8" s="2"/>
      <c r="T8" s="2"/>
      <c r="U8" s="2"/>
      <c r="V8" s="2"/>
      <c r="W8" s="2"/>
      <c r="X8" s="2"/>
      <c r="Y8" s="2"/>
      <c r="Z8" s="2"/>
      <c r="AA8" s="127"/>
      <c r="AB8" s="127"/>
      <c r="AC8" s="127"/>
      <c r="AD8" s="127"/>
      <c r="AE8" s="127"/>
      <c r="AF8" s="127"/>
      <c r="AG8" s="127"/>
      <c r="AH8" s="127"/>
      <c r="AI8" s="127"/>
      <c r="AJ8" s="127"/>
      <c r="AK8" s="127"/>
      <c r="AL8" s="127"/>
      <c r="AM8" s="127"/>
      <c r="AN8" s="127"/>
      <c r="AO8" s="2"/>
      <c r="AP8" s="2"/>
      <c r="AQ8" s="2"/>
      <c r="AR8" s="2"/>
      <c r="AS8" s="2"/>
      <c r="AT8" s="2"/>
      <c r="AU8" s="2"/>
      <c r="AV8" s="2"/>
      <c r="AW8" s="2"/>
      <c r="AX8" s="2"/>
      <c r="AY8" s="2"/>
      <c r="AZ8" s="2"/>
      <c r="BA8" s="2"/>
      <c r="BB8" s="2"/>
      <c r="BC8" s="2"/>
      <c r="BD8" s="2"/>
      <c r="BE8" s="2"/>
      <c r="BF8" s="2"/>
      <c r="BG8" s="2"/>
      <c r="BH8" s="2"/>
      <c r="BI8" s="2"/>
      <c r="BJ8" s="2"/>
      <c r="BK8" s="2"/>
    </row>
    <row r="9" spans="2:63" x14ac:dyDescent="0.55000000000000004">
      <c r="B9" s="141"/>
      <c r="C9" s="2"/>
      <c r="D9" s="2"/>
      <c r="E9" s="2"/>
      <c r="F9" s="2"/>
      <c r="G9" s="2"/>
      <c r="H9" s="2"/>
      <c r="I9" s="2"/>
      <c r="J9" s="2"/>
      <c r="K9" s="2"/>
      <c r="L9" s="2"/>
      <c r="M9" s="2"/>
      <c r="N9" s="2"/>
      <c r="O9" s="2"/>
      <c r="P9" s="2"/>
      <c r="Q9" s="2"/>
      <c r="R9" s="2"/>
      <c r="S9" s="2"/>
      <c r="T9" s="2"/>
      <c r="U9" s="2"/>
      <c r="V9" s="2"/>
      <c r="W9" s="2"/>
      <c r="X9" s="2"/>
      <c r="Y9" s="2"/>
      <c r="Z9" s="2"/>
      <c r="AA9" s="127"/>
      <c r="AB9" s="127"/>
      <c r="AC9" s="127"/>
      <c r="AD9" s="127"/>
      <c r="AE9" s="127"/>
      <c r="AF9" s="127"/>
      <c r="AG9" s="127"/>
      <c r="AH9" s="127"/>
      <c r="AI9" s="127"/>
      <c r="AJ9" s="127"/>
      <c r="AK9" s="127"/>
      <c r="AL9" s="127"/>
      <c r="AM9" s="127"/>
      <c r="AN9" s="127"/>
      <c r="AO9" s="2"/>
      <c r="AP9" s="2"/>
      <c r="AQ9" s="2"/>
      <c r="AR9" s="2"/>
      <c r="AS9" s="2"/>
      <c r="AT9" s="2"/>
      <c r="AU9" s="2"/>
      <c r="AV9" s="2"/>
      <c r="AW9" s="2"/>
      <c r="AX9" s="2"/>
      <c r="AY9" s="2"/>
      <c r="AZ9" s="2"/>
      <c r="BA9" s="2"/>
      <c r="BB9" s="2"/>
      <c r="BC9" s="2"/>
      <c r="BD9" s="2"/>
      <c r="BE9" s="2"/>
      <c r="BF9" s="2"/>
      <c r="BG9" s="2"/>
      <c r="BH9" s="2"/>
      <c r="BI9" s="2"/>
      <c r="BJ9" s="2"/>
      <c r="BK9" s="2"/>
    </row>
    <row r="10" spans="2:63" ht="14.5" customHeight="1" x14ac:dyDescent="0.55000000000000004">
      <c r="B10" s="141"/>
      <c r="C10" s="2"/>
      <c r="D10" s="2"/>
      <c r="E10" s="2"/>
      <c r="F10" s="139" t="s">
        <v>156</v>
      </c>
      <c r="G10" s="139" t="s">
        <v>157</v>
      </c>
      <c r="I10" s="2"/>
      <c r="J10" s="2"/>
      <c r="K10" s="2"/>
      <c r="L10" s="2"/>
      <c r="M10" s="2"/>
      <c r="N10" s="2"/>
      <c r="O10" s="2"/>
      <c r="P10" s="2"/>
      <c r="Q10" s="2"/>
      <c r="R10" s="2"/>
      <c r="S10" s="2"/>
      <c r="T10" s="2"/>
      <c r="U10" s="2"/>
      <c r="V10" s="2"/>
      <c r="W10" s="2"/>
      <c r="X10" s="2"/>
      <c r="Y10" s="2"/>
      <c r="Z10" s="2"/>
      <c r="AA10" s="127"/>
      <c r="AB10" s="127"/>
      <c r="AC10" s="127"/>
      <c r="AD10" s="127"/>
      <c r="AE10" s="127"/>
      <c r="AF10" s="127"/>
      <c r="AG10" s="127"/>
      <c r="AH10" s="127"/>
      <c r="AI10" s="127"/>
      <c r="AJ10" s="127"/>
      <c r="AK10" s="127"/>
      <c r="AL10" s="127"/>
      <c r="AM10" s="127"/>
      <c r="AN10" s="127"/>
      <c r="AO10" s="2"/>
      <c r="AP10" s="2"/>
      <c r="AQ10" s="2"/>
      <c r="AR10" s="2"/>
      <c r="AS10" s="2"/>
      <c r="AT10" s="2"/>
      <c r="AU10" s="2"/>
      <c r="AV10" s="2"/>
      <c r="AW10" s="2"/>
      <c r="AX10" s="2"/>
      <c r="AY10" s="2"/>
      <c r="AZ10" s="2"/>
      <c r="BA10" s="2"/>
      <c r="BB10" s="2"/>
      <c r="BC10" s="2"/>
      <c r="BD10" s="2"/>
      <c r="BE10" s="2"/>
      <c r="BF10" s="2"/>
      <c r="BG10" s="2"/>
      <c r="BH10" s="2"/>
      <c r="BI10" s="2"/>
      <c r="BJ10" s="2"/>
      <c r="BK10" s="2"/>
    </row>
    <row r="11" spans="2:63" x14ac:dyDescent="0.55000000000000004">
      <c r="B11" s="140" t="s">
        <v>413</v>
      </c>
      <c r="C11" s="2"/>
      <c r="D11" s="2"/>
      <c r="E11" s="2"/>
      <c r="F11" s="132">
        <v>0.6</v>
      </c>
      <c r="G11" s="132">
        <v>0.5</v>
      </c>
      <c r="N11" s="2"/>
      <c r="O11" s="2"/>
      <c r="P11" s="2"/>
      <c r="Q11" s="2"/>
      <c r="S11" s="2"/>
      <c r="T11" s="2"/>
      <c r="U11" s="2"/>
      <c r="V11" s="2"/>
      <c r="W11" s="2"/>
      <c r="X11" s="2"/>
      <c r="Y11" s="2"/>
      <c r="Z11" s="2"/>
      <c r="AA11" s="127"/>
      <c r="AB11" s="127"/>
      <c r="AC11" s="127"/>
      <c r="AD11" s="127"/>
      <c r="AE11" s="127"/>
      <c r="AF11" s="127"/>
      <c r="AG11" s="127"/>
      <c r="AH11" s="127"/>
      <c r="AI11" s="127"/>
      <c r="AJ11" s="127"/>
      <c r="AK11" s="127"/>
      <c r="AL11" s="127"/>
      <c r="AM11" s="127"/>
      <c r="AN11" s="127"/>
      <c r="AO11" s="2"/>
      <c r="AP11" s="2"/>
      <c r="AQ11" s="2"/>
      <c r="AR11" s="2"/>
      <c r="AS11" s="2"/>
      <c r="AT11" s="2"/>
      <c r="AU11" s="2"/>
      <c r="AV11" s="2"/>
      <c r="AW11" s="2"/>
      <c r="AX11" s="2"/>
      <c r="AY11" s="2"/>
      <c r="AZ11" s="2"/>
      <c r="BA11" s="2"/>
      <c r="BB11" s="2"/>
      <c r="BC11" s="2"/>
      <c r="BD11" s="2"/>
      <c r="BE11" s="2"/>
      <c r="BF11" s="2"/>
      <c r="BG11" s="2"/>
      <c r="BH11" s="2"/>
      <c r="BI11" s="2"/>
      <c r="BJ11" s="2"/>
      <c r="BK11" s="2"/>
    </row>
    <row r="12" spans="2:63" x14ac:dyDescent="0.55000000000000004">
      <c r="B12" s="140" t="s">
        <v>160</v>
      </c>
      <c r="C12" s="2"/>
      <c r="D12" s="2"/>
      <c r="E12" s="2"/>
      <c r="F12" s="132">
        <v>0.15</v>
      </c>
      <c r="G12" s="132">
        <v>0.1</v>
      </c>
      <c r="N12" s="2"/>
      <c r="O12" s="2"/>
      <c r="P12" s="2"/>
      <c r="Q12" s="2"/>
      <c r="S12" s="2"/>
      <c r="T12" s="2"/>
      <c r="U12" s="2"/>
      <c r="V12" s="2"/>
      <c r="W12" s="2"/>
      <c r="X12" s="2"/>
      <c r="Y12" s="2"/>
      <c r="Z12" s="2"/>
      <c r="AA12" s="127"/>
      <c r="AB12" s="127"/>
      <c r="AC12" s="127"/>
      <c r="AD12" s="127"/>
      <c r="AE12" s="127"/>
      <c r="AF12" s="127"/>
      <c r="AG12" s="127"/>
      <c r="AH12" s="127"/>
      <c r="AI12" s="127"/>
      <c r="AJ12" s="127"/>
      <c r="AK12" s="127"/>
      <c r="AL12" s="127"/>
      <c r="AM12" s="127"/>
      <c r="AN12" s="127"/>
      <c r="AO12" s="2"/>
      <c r="AP12" s="2"/>
      <c r="AQ12" s="2"/>
      <c r="AR12" s="2"/>
      <c r="AS12" s="2"/>
      <c r="AT12" s="2"/>
      <c r="AU12" s="2"/>
      <c r="AV12" s="2"/>
      <c r="AW12" s="2"/>
      <c r="AX12" s="2"/>
      <c r="AY12" s="2"/>
      <c r="AZ12" s="2"/>
      <c r="BA12" s="2"/>
      <c r="BB12" s="2"/>
      <c r="BC12" s="2"/>
      <c r="BD12" s="2"/>
      <c r="BE12" s="2"/>
      <c r="BF12" s="2"/>
      <c r="BG12" s="2"/>
      <c r="BH12" s="2"/>
      <c r="BI12" s="2"/>
      <c r="BJ12" s="2"/>
      <c r="BK12" s="2"/>
    </row>
    <row r="13" spans="2:63" x14ac:dyDescent="0.55000000000000004">
      <c r="B13" s="140" t="s">
        <v>433</v>
      </c>
      <c r="C13" s="2"/>
      <c r="D13" s="2"/>
      <c r="E13" s="2"/>
      <c r="F13" s="132">
        <v>0.1</v>
      </c>
      <c r="G13" s="110">
        <f>F13</f>
        <v>0.1</v>
      </c>
      <c r="N13" s="2"/>
      <c r="O13" s="2"/>
      <c r="P13" s="2"/>
      <c r="Q13" s="2"/>
      <c r="S13" s="2"/>
      <c r="T13" s="2"/>
      <c r="U13" s="2"/>
      <c r="V13" s="2"/>
      <c r="W13" s="2"/>
      <c r="X13" s="2"/>
      <c r="Y13" s="2"/>
      <c r="Z13" s="2"/>
      <c r="AA13" s="127"/>
      <c r="AB13" s="127"/>
      <c r="AC13" s="127"/>
      <c r="AD13" s="127"/>
      <c r="AE13" s="127"/>
      <c r="AF13" s="127"/>
      <c r="AG13" s="127"/>
      <c r="AH13" s="127"/>
      <c r="AI13" s="127"/>
      <c r="AJ13" s="127"/>
      <c r="AK13" s="127"/>
      <c r="AL13" s="127"/>
      <c r="AM13" s="127"/>
      <c r="AN13" s="127"/>
      <c r="AO13" s="2"/>
      <c r="AP13" s="2"/>
      <c r="AQ13" s="2"/>
      <c r="AR13" s="2"/>
      <c r="AS13" s="2"/>
      <c r="AT13" s="2"/>
      <c r="AU13" s="2"/>
      <c r="AV13" s="2"/>
      <c r="AW13" s="2"/>
      <c r="AX13" s="2"/>
      <c r="AY13" s="2"/>
      <c r="AZ13" s="2"/>
      <c r="BA13" s="2"/>
      <c r="BB13" s="2"/>
      <c r="BC13" s="2"/>
      <c r="BD13" s="2"/>
      <c r="BE13" s="2"/>
      <c r="BF13" s="2"/>
      <c r="BG13" s="2"/>
      <c r="BH13" s="2"/>
      <c r="BI13" s="2"/>
      <c r="BJ13" s="2"/>
      <c r="BK13" s="2"/>
    </row>
    <row r="14" spans="2:63" x14ac:dyDescent="0.55000000000000004">
      <c r="B14" s="140" t="s">
        <v>379</v>
      </c>
      <c r="C14" s="2"/>
      <c r="D14" s="2"/>
      <c r="E14" s="2"/>
      <c r="F14" s="132">
        <v>0.05</v>
      </c>
      <c r="G14" s="132">
        <v>0.03</v>
      </c>
      <c r="N14" s="2"/>
      <c r="O14" s="2"/>
      <c r="P14" s="2"/>
      <c r="Q14" s="2"/>
      <c r="S14" s="2"/>
      <c r="T14" s="2"/>
      <c r="U14" s="2"/>
      <c r="V14" s="2"/>
      <c r="W14" s="2"/>
      <c r="X14" s="2"/>
      <c r="Y14" s="2"/>
      <c r="Z14" s="2"/>
      <c r="AA14" s="127"/>
      <c r="AB14" s="127"/>
      <c r="AC14" s="127"/>
      <c r="AD14" s="127"/>
      <c r="AE14" s="127"/>
      <c r="AF14" s="127"/>
      <c r="AG14" s="127"/>
      <c r="AH14" s="127"/>
      <c r="AI14" s="127"/>
      <c r="AJ14" s="127"/>
      <c r="AK14" s="127"/>
      <c r="AL14" s="127"/>
      <c r="AM14" s="127"/>
      <c r="AN14" s="127"/>
      <c r="AO14" s="2"/>
      <c r="AP14" s="2"/>
      <c r="AQ14" s="2"/>
      <c r="AR14" s="2"/>
      <c r="AS14" s="2"/>
      <c r="AT14" s="2"/>
      <c r="AU14" s="2"/>
      <c r="AV14" s="2"/>
      <c r="AW14" s="2"/>
      <c r="AX14" s="2"/>
      <c r="AY14" s="2"/>
      <c r="AZ14" s="2"/>
      <c r="BA14" s="2"/>
      <c r="BB14" s="2"/>
      <c r="BC14" s="2"/>
      <c r="BD14" s="2"/>
      <c r="BE14" s="2"/>
      <c r="BF14" s="2"/>
      <c r="BG14" s="2"/>
      <c r="BH14" s="2"/>
      <c r="BI14" s="2"/>
      <c r="BJ14" s="2"/>
      <c r="BK14" s="2"/>
    </row>
    <row r="15" spans="2:63" x14ac:dyDescent="0.55000000000000004">
      <c r="B15" s="140" t="s">
        <v>380</v>
      </c>
      <c r="C15" s="2"/>
      <c r="D15" s="2"/>
      <c r="E15" s="2"/>
      <c r="F15" s="129">
        <f>(F11-F12)*(1+F14)-F13</f>
        <v>0.37249999999999994</v>
      </c>
      <c r="G15" s="129">
        <f>(G11-G12)*(1+G14)-G13</f>
        <v>0.31200000000000006</v>
      </c>
      <c r="N15" s="2"/>
      <c r="O15" s="2"/>
      <c r="P15" s="2"/>
      <c r="Q15" s="2"/>
      <c r="S15" s="2"/>
      <c r="T15" s="2"/>
      <c r="U15" s="2"/>
      <c r="V15" s="2"/>
      <c r="W15" s="2"/>
      <c r="X15" s="2"/>
      <c r="Y15" s="2"/>
      <c r="Z15" s="2"/>
      <c r="AA15" s="127"/>
      <c r="AB15" s="127"/>
      <c r="AC15" s="127"/>
      <c r="AD15" s="127"/>
      <c r="AE15" s="127"/>
      <c r="AF15" s="127"/>
      <c r="AG15" s="127"/>
      <c r="AH15" s="127"/>
      <c r="AI15" s="127"/>
      <c r="AJ15" s="127"/>
      <c r="AK15" s="127"/>
      <c r="AL15" s="127"/>
      <c r="AM15" s="127"/>
      <c r="AN15" s="127"/>
      <c r="AO15" s="2"/>
      <c r="AP15" s="2"/>
      <c r="AQ15" s="2"/>
      <c r="AR15" s="2"/>
      <c r="AS15" s="2"/>
      <c r="AT15" s="2"/>
      <c r="AU15" s="2"/>
      <c r="AV15" s="2"/>
      <c r="AW15" s="2"/>
      <c r="AY15" s="2"/>
      <c r="AZ15" s="2"/>
      <c r="BA15" s="2"/>
      <c r="BB15" s="2"/>
      <c r="BC15" s="2"/>
      <c r="BD15" s="2"/>
      <c r="BE15" s="2"/>
      <c r="BF15" s="2"/>
      <c r="BG15" s="2"/>
      <c r="BH15" s="2"/>
      <c r="BI15" s="2"/>
      <c r="BJ15" s="2"/>
      <c r="BK15" s="2"/>
    </row>
    <row r="16" spans="2:63" x14ac:dyDescent="0.55000000000000004">
      <c r="B16" s="140"/>
      <c r="C16" s="2"/>
      <c r="D16" s="2"/>
      <c r="E16" s="2"/>
      <c r="F16" s="97"/>
      <c r="G16" s="97"/>
      <c r="N16" s="2"/>
      <c r="O16" s="2"/>
      <c r="P16" s="2"/>
      <c r="Q16" s="2"/>
      <c r="S16" s="2"/>
      <c r="T16" s="2"/>
      <c r="U16" s="2"/>
      <c r="V16" s="2"/>
      <c r="W16" s="2"/>
      <c r="X16" s="2"/>
      <c r="Y16" s="2"/>
      <c r="Z16" s="2"/>
      <c r="AA16" s="127"/>
      <c r="AB16" s="127"/>
      <c r="AC16" s="127"/>
      <c r="AD16" s="127"/>
      <c r="AE16" s="127"/>
      <c r="AF16" s="127"/>
      <c r="AG16" s="127"/>
      <c r="AH16" s="127"/>
      <c r="AI16" s="127"/>
      <c r="AJ16" s="127"/>
      <c r="AK16" s="127"/>
      <c r="AL16" s="127"/>
      <c r="AM16" s="127"/>
      <c r="AN16" s="127"/>
      <c r="AO16" s="2"/>
      <c r="AP16" s="2"/>
      <c r="AQ16" s="2"/>
      <c r="AR16" s="2"/>
      <c r="AS16" s="2"/>
      <c r="AT16" s="2"/>
      <c r="AU16" s="2"/>
      <c r="AV16" s="2"/>
      <c r="AW16" s="2"/>
      <c r="AY16" s="2"/>
      <c r="AZ16" s="2"/>
      <c r="BA16" s="2"/>
      <c r="BB16" s="2"/>
      <c r="BC16" s="2"/>
      <c r="BD16" s="2"/>
      <c r="BE16" s="2"/>
      <c r="BF16" s="2"/>
      <c r="BG16" s="2"/>
      <c r="BH16" s="2"/>
      <c r="BI16" s="2"/>
      <c r="BJ16" s="2"/>
      <c r="BK16" s="2"/>
    </row>
    <row r="17" spans="2:63" x14ac:dyDescent="0.55000000000000004">
      <c r="B17" s="140" t="s">
        <v>151</v>
      </c>
      <c r="C17" s="2"/>
      <c r="D17" s="2"/>
      <c r="E17" s="2"/>
      <c r="F17" s="132">
        <v>0.02</v>
      </c>
      <c r="G17" s="132">
        <v>0.01</v>
      </c>
      <c r="N17" s="2"/>
      <c r="O17" s="2"/>
      <c r="P17" s="2"/>
      <c r="Q17" s="2"/>
      <c r="S17" s="2"/>
      <c r="T17" s="2"/>
      <c r="U17" s="2"/>
      <c r="V17" s="2"/>
      <c r="W17" s="2"/>
      <c r="X17" s="2"/>
      <c r="Y17" s="2"/>
      <c r="Z17" s="2"/>
      <c r="AA17" s="127"/>
      <c r="AB17" s="127"/>
      <c r="AC17" s="127"/>
      <c r="AD17" s="127"/>
      <c r="AE17" s="127"/>
      <c r="AF17" s="127"/>
      <c r="AG17" s="127"/>
      <c r="AH17" s="127"/>
      <c r="AI17" s="127"/>
      <c r="AJ17" s="127"/>
      <c r="AK17" s="127"/>
      <c r="AL17" s="127"/>
      <c r="AM17" s="127"/>
      <c r="AN17" s="127"/>
      <c r="AO17" s="2"/>
      <c r="AP17" s="2"/>
      <c r="AQ17" s="2"/>
      <c r="AR17" s="2"/>
      <c r="AS17" s="2"/>
      <c r="AT17" s="2"/>
      <c r="AU17" s="2"/>
      <c r="AV17" s="2"/>
      <c r="AW17" s="2"/>
      <c r="AY17" s="2"/>
      <c r="AZ17" s="2"/>
      <c r="BA17" s="2"/>
      <c r="BB17" s="2"/>
      <c r="BC17" s="2"/>
      <c r="BD17" s="2"/>
      <c r="BE17" s="2"/>
      <c r="BF17" s="2"/>
      <c r="BG17" s="2"/>
      <c r="BH17" s="2"/>
      <c r="BI17" s="2"/>
      <c r="BJ17" s="2"/>
      <c r="BK17" s="2"/>
    </row>
    <row r="18" spans="2:63" x14ac:dyDescent="0.55000000000000004">
      <c r="B18" s="140" t="s">
        <v>376</v>
      </c>
      <c r="F18" s="132">
        <v>0.01</v>
      </c>
      <c r="G18" s="132">
        <v>5.0000000000000001E-3</v>
      </c>
      <c r="N18" s="2"/>
      <c r="O18" s="2"/>
      <c r="P18" s="2"/>
      <c r="Q18" s="2"/>
      <c r="S18" s="2"/>
      <c r="T18" s="2"/>
      <c r="U18" s="2"/>
      <c r="V18" s="2"/>
      <c r="W18" s="2"/>
      <c r="X18" s="2"/>
      <c r="Y18" s="2"/>
      <c r="Z18" s="2"/>
      <c r="AA18" s="127"/>
      <c r="AB18" s="127"/>
      <c r="AC18" s="127"/>
      <c r="AD18" s="127"/>
      <c r="AE18" s="127"/>
      <c r="AF18" s="127"/>
      <c r="AG18" s="127"/>
      <c r="AH18" s="127"/>
      <c r="AI18" s="127"/>
      <c r="AJ18" s="127"/>
      <c r="AK18" s="127"/>
      <c r="AL18" s="127"/>
      <c r="AM18" s="127"/>
      <c r="AN18" s="127"/>
      <c r="AO18" s="2"/>
      <c r="AP18" s="2"/>
      <c r="AQ18" s="2"/>
      <c r="AR18" s="2"/>
      <c r="AS18" s="2"/>
      <c r="AT18" s="2"/>
      <c r="AU18" s="2"/>
      <c r="AV18" s="2"/>
      <c r="AW18" s="2"/>
      <c r="AY18" s="2"/>
      <c r="AZ18" s="2"/>
      <c r="BA18" s="2"/>
      <c r="BB18" s="2"/>
      <c r="BC18" s="2"/>
      <c r="BD18" s="2"/>
      <c r="BE18" s="2"/>
      <c r="BF18" s="2"/>
      <c r="BG18" s="2"/>
      <c r="BH18" s="2"/>
      <c r="BI18" s="2"/>
      <c r="BJ18" s="2"/>
      <c r="BK18" s="2"/>
    </row>
    <row r="19" spans="2:63" x14ac:dyDescent="0.55000000000000004">
      <c r="B19" s="140" t="s">
        <v>117</v>
      </c>
      <c r="C19" s="2"/>
      <c r="D19" s="2"/>
      <c r="E19" s="2"/>
      <c r="F19" s="132">
        <v>0.2</v>
      </c>
      <c r="G19" s="132">
        <v>0.1</v>
      </c>
      <c r="N19" s="2"/>
      <c r="O19" s="2"/>
      <c r="P19" s="2"/>
      <c r="Q19" s="2"/>
      <c r="S19" s="2"/>
      <c r="T19" s="2"/>
      <c r="U19" s="2"/>
      <c r="V19" s="2"/>
      <c r="W19" s="2"/>
      <c r="X19" s="2"/>
      <c r="Y19" s="2"/>
      <c r="Z19" s="2"/>
      <c r="AA19" s="127"/>
      <c r="AB19" s="127"/>
      <c r="AC19" s="127"/>
      <c r="AD19" s="127"/>
      <c r="AE19" s="127"/>
      <c r="AF19" s="127"/>
      <c r="AG19" s="127"/>
      <c r="AH19" s="127"/>
      <c r="AI19" s="127"/>
      <c r="AJ19" s="127"/>
      <c r="AK19" s="127"/>
      <c r="AL19" s="127"/>
      <c r="AM19" s="127"/>
      <c r="AN19" s="127"/>
      <c r="AO19" s="2"/>
      <c r="AP19" s="2"/>
      <c r="AQ19" s="2"/>
      <c r="AR19" s="2"/>
      <c r="AS19" s="2"/>
      <c r="AT19" s="2"/>
      <c r="AU19" s="2"/>
      <c r="AV19" s="2"/>
      <c r="AW19" s="2"/>
      <c r="AY19" s="2"/>
      <c r="AZ19" s="2"/>
      <c r="BA19" s="2"/>
      <c r="BB19" s="2"/>
      <c r="BC19" s="2"/>
      <c r="BD19" s="2"/>
      <c r="BE19" s="2"/>
      <c r="BF19" s="2"/>
      <c r="BG19" s="2"/>
      <c r="BH19" s="2"/>
      <c r="BI19" s="2"/>
      <c r="BJ19" s="2"/>
      <c r="BK19" s="2"/>
    </row>
    <row r="20" spans="2:63" x14ac:dyDescent="0.55000000000000004">
      <c r="B20" s="140"/>
      <c r="C20" s="2"/>
      <c r="D20" s="2"/>
      <c r="E20" s="2"/>
      <c r="F20" s="97"/>
      <c r="G20" s="97"/>
      <c r="H20" s="97"/>
      <c r="N20" s="2"/>
      <c r="O20" s="2"/>
      <c r="P20" s="2"/>
      <c r="Q20" s="2"/>
      <c r="S20" s="2"/>
      <c r="T20" s="2"/>
      <c r="U20" s="2"/>
      <c r="V20" s="2"/>
      <c r="W20" s="2"/>
      <c r="X20" s="2"/>
      <c r="Y20" s="2"/>
      <c r="Z20" s="2"/>
      <c r="AA20" s="127"/>
      <c r="AB20" s="127"/>
      <c r="AC20" s="127"/>
      <c r="AD20" s="127"/>
      <c r="AE20" s="127"/>
      <c r="AF20" s="127"/>
      <c r="AG20" s="127"/>
      <c r="AH20" s="127"/>
      <c r="AI20" s="127"/>
      <c r="AJ20" s="127"/>
      <c r="AK20" s="127"/>
      <c r="AL20" s="127"/>
      <c r="AM20" s="127"/>
      <c r="AN20" s="127"/>
      <c r="AO20" s="2"/>
      <c r="AP20" s="2"/>
      <c r="AQ20" s="2"/>
      <c r="AR20" s="2"/>
      <c r="AS20" s="2"/>
      <c r="AT20" s="2"/>
      <c r="AU20" s="2"/>
      <c r="AV20" s="2"/>
      <c r="AW20" s="2"/>
      <c r="AY20" s="2"/>
      <c r="AZ20" s="2"/>
      <c r="BA20" s="2"/>
      <c r="BB20" s="2"/>
      <c r="BC20" s="2"/>
      <c r="BD20" s="2"/>
      <c r="BE20" s="2"/>
      <c r="BF20" s="2"/>
      <c r="BG20" s="2"/>
      <c r="BH20" s="2"/>
      <c r="BI20" s="2"/>
      <c r="BJ20" s="2"/>
      <c r="BK20" s="2"/>
    </row>
    <row r="21" spans="2:63" x14ac:dyDescent="0.55000000000000004">
      <c r="B21" s="140" t="s">
        <v>410</v>
      </c>
      <c r="C21" s="2"/>
      <c r="D21" s="2"/>
      <c r="E21" s="2"/>
      <c r="F21" s="131">
        <v>9000000</v>
      </c>
      <c r="H21" s="97"/>
      <c r="N21" s="2"/>
      <c r="O21" s="2"/>
      <c r="P21" s="2"/>
      <c r="Q21" s="2"/>
      <c r="S21" s="2"/>
      <c r="T21" s="2"/>
      <c r="U21" s="2"/>
      <c r="V21" s="2"/>
      <c r="W21" s="2"/>
      <c r="X21" s="2"/>
      <c r="Y21" s="2"/>
      <c r="Z21" s="2"/>
      <c r="AA21" s="127"/>
      <c r="AB21" s="127"/>
      <c r="AC21" s="127"/>
      <c r="AD21" s="127"/>
      <c r="AE21" s="127"/>
      <c r="AF21" s="127"/>
      <c r="AG21" s="127"/>
      <c r="AH21" s="127"/>
      <c r="AI21" s="127"/>
      <c r="AJ21" s="127"/>
      <c r="AK21" s="127"/>
      <c r="AL21" s="127"/>
      <c r="AM21" s="127"/>
      <c r="AN21" s="127"/>
      <c r="AO21" s="2"/>
      <c r="AP21" s="2"/>
      <c r="AQ21" s="2"/>
      <c r="AR21" s="2"/>
      <c r="AS21" s="2"/>
      <c r="AT21" s="2"/>
      <c r="AU21" s="2"/>
      <c r="AV21" s="2"/>
      <c r="AW21" s="2"/>
      <c r="AX21" s="2"/>
      <c r="AY21" s="2"/>
      <c r="AZ21" s="2"/>
      <c r="BA21" s="2"/>
      <c r="BB21" s="2"/>
      <c r="BC21" s="2"/>
      <c r="BD21" s="2"/>
      <c r="BE21" s="2"/>
      <c r="BF21" s="2"/>
      <c r="BG21" s="2"/>
      <c r="BH21" s="2"/>
      <c r="BI21" s="2"/>
      <c r="BJ21" s="2"/>
      <c r="BK21" s="2"/>
    </row>
    <row r="22" spans="2:63" x14ac:dyDescent="0.55000000000000004">
      <c r="B22" s="140" t="s">
        <v>411</v>
      </c>
      <c r="C22" s="2"/>
      <c r="D22" s="2"/>
      <c r="E22" s="2"/>
      <c r="F22" s="131" t="s">
        <v>373</v>
      </c>
      <c r="H22" s="97"/>
      <c r="N22" s="2"/>
      <c r="O22" s="2"/>
      <c r="P22" s="2"/>
      <c r="Q22" s="2"/>
      <c r="S22" s="2"/>
      <c r="T22" s="2"/>
      <c r="U22" s="2"/>
      <c r="V22" s="2"/>
      <c r="W22" s="2"/>
      <c r="X22" s="2"/>
      <c r="Y22" s="2"/>
      <c r="Z22" s="2"/>
      <c r="AA22" s="127"/>
      <c r="AB22" s="127"/>
      <c r="AC22" s="127"/>
      <c r="AD22" s="127"/>
      <c r="AE22" s="127"/>
      <c r="AF22" s="127"/>
      <c r="AG22" s="127"/>
      <c r="AH22" s="127"/>
      <c r="AI22" s="127"/>
      <c r="AJ22" s="127"/>
      <c r="AK22" s="127"/>
      <c r="AL22" s="127"/>
      <c r="AM22" s="127"/>
      <c r="AN22" s="127"/>
      <c r="AO22" s="2"/>
      <c r="AP22" s="2"/>
      <c r="AQ22" s="2"/>
      <c r="AR22" s="2"/>
      <c r="AS22" s="2"/>
      <c r="AT22" s="2"/>
      <c r="AU22" s="2"/>
      <c r="AV22" s="2"/>
      <c r="AW22" s="2"/>
      <c r="AX22" s="2"/>
      <c r="AY22" s="2"/>
      <c r="AZ22" s="2"/>
      <c r="BA22" s="2"/>
      <c r="BB22" s="2"/>
      <c r="BC22" s="2"/>
      <c r="BD22" s="2"/>
      <c r="BE22" s="2"/>
      <c r="BF22" s="2"/>
      <c r="BG22" s="2"/>
      <c r="BH22" s="2"/>
      <c r="BI22" s="2"/>
      <c r="BJ22" s="2"/>
      <c r="BK22" s="2"/>
    </row>
    <row r="23" spans="2:63" x14ac:dyDescent="0.55000000000000004">
      <c r="B23" s="140" t="s">
        <v>163</v>
      </c>
      <c r="C23" s="2"/>
      <c r="D23" s="2"/>
      <c r="E23" s="2"/>
      <c r="F23" s="130" t="s">
        <v>118</v>
      </c>
      <c r="N23" s="2"/>
      <c r="O23" s="2"/>
      <c r="P23" s="2"/>
      <c r="Q23" s="2"/>
      <c r="S23" s="2"/>
      <c r="T23" s="2"/>
      <c r="U23" s="2"/>
      <c r="V23" s="2"/>
      <c r="W23" s="2"/>
      <c r="X23" s="2"/>
      <c r="Y23" s="2"/>
      <c r="Z23" s="2"/>
      <c r="AA23" s="127"/>
      <c r="AB23" s="127"/>
      <c r="AC23" s="127"/>
      <c r="AD23" s="127"/>
      <c r="AE23" s="127"/>
      <c r="AF23" s="127"/>
      <c r="AG23" s="127"/>
      <c r="AH23" s="127"/>
      <c r="AI23" s="127"/>
      <c r="AJ23" s="127"/>
      <c r="AK23" s="127"/>
      <c r="AL23" s="127"/>
      <c r="AM23" s="127"/>
      <c r="AN23" s="127"/>
      <c r="AO23" s="2"/>
      <c r="AP23" s="2"/>
      <c r="AQ23" s="2"/>
      <c r="AR23" s="2"/>
      <c r="AS23" s="2"/>
      <c r="AT23" s="2"/>
      <c r="AU23" s="2"/>
      <c r="AV23" s="2"/>
      <c r="AW23" s="2"/>
      <c r="AX23" s="2"/>
      <c r="AY23" s="2"/>
      <c r="AZ23" s="2"/>
      <c r="BA23" s="2"/>
      <c r="BB23" s="2"/>
      <c r="BC23" s="2"/>
      <c r="BD23" s="2"/>
      <c r="BE23" s="2"/>
      <c r="BF23" s="2"/>
      <c r="BG23" s="2"/>
      <c r="BH23" s="2"/>
      <c r="BI23" s="2"/>
      <c r="BJ23" s="2"/>
      <c r="BK23" s="2"/>
    </row>
    <row r="24" spans="2:63" x14ac:dyDescent="0.55000000000000004">
      <c r="B24" s="140" t="s">
        <v>161</v>
      </c>
      <c r="F24" s="130" t="s">
        <v>118</v>
      </c>
      <c r="N24" s="2"/>
      <c r="O24" s="2"/>
      <c r="P24" s="2"/>
      <c r="Q24" s="2"/>
      <c r="S24" s="2"/>
      <c r="T24" s="2"/>
      <c r="U24" s="2"/>
      <c r="V24" s="2"/>
      <c r="W24" s="2"/>
      <c r="X24" s="2"/>
      <c r="Y24" s="2"/>
      <c r="Z24" s="2"/>
      <c r="AA24" s="127"/>
      <c r="AB24" s="127"/>
      <c r="AC24" s="127"/>
      <c r="AD24" s="127"/>
      <c r="AE24" s="127"/>
      <c r="AF24" s="127"/>
      <c r="AG24" s="127"/>
      <c r="AH24" s="127"/>
      <c r="AI24" s="127"/>
      <c r="AJ24" s="127"/>
      <c r="AK24" s="127"/>
      <c r="AL24" s="127"/>
      <c r="AM24" s="127"/>
      <c r="AN24" s="127"/>
      <c r="AO24" s="2"/>
      <c r="AP24" s="2"/>
      <c r="AQ24" s="2"/>
      <c r="AR24" s="2"/>
      <c r="AS24" s="2"/>
      <c r="AT24" s="2"/>
      <c r="AU24" s="2"/>
      <c r="AV24" s="2"/>
      <c r="AW24" s="2"/>
      <c r="AX24" s="2"/>
      <c r="AY24" s="2"/>
      <c r="AZ24" s="2"/>
      <c r="BA24" s="2"/>
      <c r="BB24" s="2"/>
      <c r="BC24" s="2"/>
      <c r="BD24" s="2"/>
      <c r="BE24" s="2"/>
      <c r="BF24" s="2"/>
      <c r="BG24" s="2"/>
      <c r="BH24" s="2"/>
      <c r="BI24" s="2"/>
      <c r="BJ24" s="2"/>
      <c r="BK24" s="2"/>
    </row>
    <row r="25" spans="2:63" x14ac:dyDescent="0.55000000000000004">
      <c r="B25" s="140" t="s">
        <v>377</v>
      </c>
      <c r="C25" s="2"/>
      <c r="D25" s="2"/>
      <c r="E25" s="2"/>
      <c r="F25" s="130" t="s">
        <v>118</v>
      </c>
      <c r="N25" s="2"/>
      <c r="O25" s="2"/>
      <c r="P25" s="2"/>
      <c r="Q25" s="2"/>
      <c r="S25" s="2"/>
      <c r="T25" s="2"/>
      <c r="U25" s="2"/>
      <c r="V25" s="2"/>
      <c r="W25" s="2"/>
      <c r="X25" s="2"/>
      <c r="Y25" s="2"/>
      <c r="Z25" s="2"/>
      <c r="AA25" s="127"/>
      <c r="AB25" s="127"/>
      <c r="AC25" s="127"/>
      <c r="AD25" s="127"/>
      <c r="AE25" s="127"/>
      <c r="AF25" s="127"/>
      <c r="AG25" s="127"/>
      <c r="AH25" s="127"/>
      <c r="AI25" s="127"/>
      <c r="AJ25" s="127"/>
      <c r="AK25" s="127"/>
      <c r="AL25" s="127"/>
      <c r="AM25" s="127"/>
      <c r="AN25" s="127"/>
      <c r="AO25" s="2"/>
      <c r="AP25" s="2"/>
      <c r="AQ25" s="2"/>
      <c r="AR25" s="2"/>
      <c r="AS25" s="2"/>
      <c r="AT25" s="2"/>
      <c r="AU25" s="2"/>
      <c r="AV25" s="2"/>
      <c r="AW25" s="2"/>
      <c r="AX25" s="2"/>
      <c r="AY25" s="2"/>
      <c r="AZ25" s="2"/>
      <c r="BA25" s="2"/>
      <c r="BB25" s="2"/>
      <c r="BC25" s="2"/>
      <c r="BD25" s="2"/>
      <c r="BE25" s="2"/>
      <c r="BF25" s="2"/>
      <c r="BG25" s="2"/>
      <c r="BH25" s="2"/>
      <c r="BI25" s="2"/>
      <c r="BJ25" s="2"/>
      <c r="BK25" s="2"/>
    </row>
    <row r="26" spans="2:63" x14ac:dyDescent="0.55000000000000004">
      <c r="B26" s="140" t="s">
        <v>434</v>
      </c>
      <c r="C26" s="2"/>
      <c r="D26" s="2"/>
      <c r="E26" s="2"/>
      <c r="F26" s="130" t="s">
        <v>122</v>
      </c>
      <c r="H26" s="105"/>
      <c r="N26" s="2"/>
      <c r="O26" s="2"/>
      <c r="P26" s="2"/>
      <c r="Q26" s="2"/>
      <c r="S26" s="2"/>
      <c r="T26" s="2"/>
      <c r="U26" s="2"/>
      <c r="V26" s="2"/>
      <c r="W26" s="2"/>
      <c r="X26" s="2"/>
      <c r="Y26" s="2"/>
      <c r="Z26" s="2"/>
      <c r="AA26" s="127"/>
      <c r="AB26" s="127"/>
      <c r="AC26" s="127"/>
      <c r="AD26" s="127"/>
      <c r="AE26" s="127"/>
      <c r="AF26" s="127"/>
      <c r="AG26" s="127"/>
      <c r="AH26" s="127"/>
      <c r="AI26" s="127"/>
      <c r="AJ26" s="127"/>
      <c r="AK26" s="127"/>
      <c r="AL26" s="127"/>
      <c r="AM26" s="127"/>
      <c r="AN26" s="127"/>
      <c r="AO26" s="2"/>
      <c r="AP26" s="2"/>
      <c r="AQ26" s="2"/>
      <c r="AR26" s="2"/>
      <c r="AS26" s="2"/>
      <c r="AT26" s="2"/>
      <c r="AU26" s="2"/>
      <c r="AV26" s="2"/>
      <c r="AW26" s="2"/>
      <c r="AX26" s="2"/>
      <c r="AY26" s="2"/>
      <c r="AZ26" s="2"/>
      <c r="BA26" s="2"/>
      <c r="BB26" s="2"/>
      <c r="BC26" s="2"/>
      <c r="BD26" s="2"/>
      <c r="BE26" s="2"/>
      <c r="BF26" s="2"/>
      <c r="BG26" s="2"/>
      <c r="BH26" s="2"/>
      <c r="BI26" s="2"/>
      <c r="BJ26" s="2"/>
      <c r="BK26" s="2"/>
    </row>
    <row r="27" spans="2:63" x14ac:dyDescent="0.55000000000000004">
      <c r="B27" s="140" t="s">
        <v>131</v>
      </c>
      <c r="C27" s="2"/>
      <c r="D27" s="2"/>
      <c r="E27" s="2"/>
      <c r="F27" s="130" t="s">
        <v>118</v>
      </c>
      <c r="H27" s="105"/>
      <c r="N27" s="2"/>
      <c r="O27" s="2"/>
      <c r="P27" s="2"/>
      <c r="Q27" s="2"/>
      <c r="S27" s="2"/>
      <c r="T27" s="2"/>
      <c r="U27" s="2"/>
      <c r="V27" s="2"/>
      <c r="W27" s="2"/>
      <c r="X27" s="2"/>
      <c r="Y27" s="2"/>
      <c r="Z27" s="2"/>
      <c r="AA27" s="127"/>
      <c r="AB27" s="127"/>
      <c r="AC27" s="127"/>
      <c r="AD27" s="127"/>
      <c r="AE27" s="127"/>
      <c r="AF27" s="127"/>
      <c r="AG27" s="127"/>
      <c r="AH27" s="127"/>
      <c r="AI27" s="127"/>
      <c r="AJ27" s="127"/>
      <c r="AK27" s="127"/>
      <c r="AL27" s="127"/>
      <c r="AM27" s="127"/>
      <c r="AN27" s="127"/>
      <c r="AO27" s="2"/>
      <c r="AP27" s="2"/>
      <c r="AQ27" s="2"/>
      <c r="AR27" s="2"/>
      <c r="AS27" s="2"/>
      <c r="AT27" s="2"/>
      <c r="AU27" s="2"/>
      <c r="AV27" s="2"/>
      <c r="AW27" s="2"/>
      <c r="AX27" s="2"/>
      <c r="AY27" s="2"/>
      <c r="AZ27" s="2"/>
      <c r="BA27" s="2"/>
      <c r="BB27" s="2"/>
      <c r="BC27" s="2"/>
      <c r="BD27" s="2"/>
      <c r="BE27" s="2"/>
      <c r="BF27" s="2"/>
      <c r="BG27" s="2"/>
      <c r="BH27" s="2"/>
      <c r="BI27" s="2"/>
      <c r="BJ27" s="2"/>
      <c r="BK27" s="2"/>
    </row>
    <row r="28" spans="2:63" x14ac:dyDescent="0.55000000000000004">
      <c r="B28" s="140" t="s">
        <v>132</v>
      </c>
      <c r="C28" s="2"/>
      <c r="D28" s="2"/>
      <c r="E28" s="2"/>
      <c r="F28" s="130" t="s">
        <v>122</v>
      </c>
      <c r="H28" s="105"/>
      <c r="N28" s="2"/>
      <c r="O28" s="2"/>
      <c r="P28" s="2"/>
      <c r="Q28" s="2"/>
      <c r="S28" s="2"/>
      <c r="T28" s="2"/>
      <c r="U28" s="2"/>
      <c r="V28" s="2"/>
      <c r="W28" s="2"/>
      <c r="X28" s="2"/>
      <c r="Y28" s="2"/>
      <c r="Z28" s="2"/>
      <c r="AA28" s="127"/>
      <c r="AB28" s="127"/>
      <c r="AC28" s="127"/>
      <c r="AD28" s="127"/>
      <c r="AE28" s="127"/>
      <c r="AF28" s="127"/>
      <c r="AG28" s="127"/>
      <c r="AH28" s="127"/>
      <c r="AI28" s="127"/>
      <c r="AJ28" s="127"/>
      <c r="AK28" s="127"/>
      <c r="AL28" s="127"/>
      <c r="AM28" s="127"/>
      <c r="AN28" s="127"/>
      <c r="AO28" s="2"/>
      <c r="AP28" s="2"/>
      <c r="AQ28" s="2"/>
      <c r="AR28" s="2"/>
      <c r="AS28" s="2"/>
      <c r="AT28" s="2"/>
      <c r="AU28" s="2"/>
      <c r="AV28" s="2"/>
      <c r="AW28" s="2"/>
      <c r="AX28" s="2"/>
      <c r="AY28" s="2"/>
      <c r="AZ28" s="2"/>
      <c r="BA28" s="2"/>
      <c r="BB28" s="2"/>
      <c r="BC28" s="2"/>
      <c r="BD28" s="2"/>
      <c r="BE28" s="2"/>
      <c r="BF28" s="2"/>
      <c r="BG28" s="2"/>
      <c r="BH28" s="2"/>
      <c r="BI28" s="2"/>
      <c r="BJ28" s="2"/>
      <c r="BK28" s="2"/>
    </row>
    <row r="29" spans="2:63" x14ac:dyDescent="0.55000000000000004">
      <c r="B29" s="140" t="s">
        <v>387</v>
      </c>
      <c r="C29" s="2"/>
      <c r="D29" s="2"/>
      <c r="E29" s="2"/>
      <c r="F29" s="130" t="s">
        <v>118</v>
      </c>
      <c r="H29" s="105"/>
      <c r="N29" s="2"/>
      <c r="O29" s="2"/>
      <c r="P29" s="2"/>
      <c r="Q29" s="2"/>
      <c r="S29" s="2"/>
      <c r="T29" s="2"/>
      <c r="U29" s="2"/>
      <c r="V29" s="2"/>
      <c r="W29" s="2"/>
      <c r="X29" s="2"/>
      <c r="Y29" s="2"/>
      <c r="Z29" s="2"/>
      <c r="AA29" s="127"/>
      <c r="AB29" s="127"/>
      <c r="AC29" s="127"/>
      <c r="AD29" s="127"/>
      <c r="AE29" s="127"/>
      <c r="AF29" s="127"/>
      <c r="AG29" s="127"/>
      <c r="AH29" s="127"/>
      <c r="AI29" s="127"/>
      <c r="AJ29" s="127"/>
      <c r="AK29" s="127"/>
      <c r="AL29" s="127"/>
      <c r="AM29" s="127"/>
      <c r="AN29" s="127"/>
      <c r="AO29" s="2"/>
      <c r="AP29" s="2"/>
      <c r="AQ29" s="2"/>
      <c r="AR29" s="2"/>
      <c r="AS29" s="2"/>
      <c r="AT29" s="2"/>
      <c r="AU29" s="2"/>
      <c r="AV29" s="2"/>
      <c r="AW29" s="2"/>
      <c r="AX29" s="2"/>
      <c r="AY29" s="2"/>
      <c r="AZ29" s="2"/>
      <c r="BA29" s="2"/>
      <c r="BB29" s="2"/>
      <c r="BC29" s="2"/>
      <c r="BD29" s="2"/>
      <c r="BE29" s="2"/>
      <c r="BF29" s="2"/>
      <c r="BG29" s="2"/>
      <c r="BH29" s="2"/>
      <c r="BI29" s="2"/>
      <c r="BJ29" s="2"/>
      <c r="BK29" s="2"/>
    </row>
    <row r="30" spans="2:63" x14ac:dyDescent="0.55000000000000004">
      <c r="H30" s="105"/>
      <c r="J30" s="2"/>
      <c r="K30" s="2"/>
      <c r="N30" s="2"/>
      <c r="O30" s="2"/>
      <c r="P30" s="2"/>
      <c r="Q30" s="2"/>
      <c r="S30" s="2"/>
      <c r="T30" s="2"/>
      <c r="U30" s="2"/>
      <c r="V30" s="2"/>
      <c r="W30" s="2"/>
      <c r="X30" s="2"/>
      <c r="Y30" s="2"/>
      <c r="Z30" s="2"/>
      <c r="AA30" s="22"/>
      <c r="AB30" s="2"/>
      <c r="AC30" s="2"/>
      <c r="AD30" s="2"/>
      <c r="AE30" s="2"/>
      <c r="AF30" s="2"/>
      <c r="AG30" s="21"/>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row>
    <row r="31" spans="2:63" x14ac:dyDescent="0.55000000000000004">
      <c r="H31" s="105"/>
      <c r="J31" s="2"/>
      <c r="K31" s="2"/>
      <c r="N31" s="2"/>
      <c r="O31" s="2"/>
      <c r="P31" s="2"/>
      <c r="Q31" s="2"/>
      <c r="S31" s="2"/>
      <c r="T31" s="2"/>
      <c r="U31" s="2"/>
      <c r="V31" s="2"/>
      <c r="W31" s="2"/>
      <c r="X31" s="2"/>
      <c r="Y31" s="2"/>
      <c r="Z31" s="2"/>
      <c r="AA31" s="22"/>
      <c r="AB31" s="2"/>
      <c r="AC31" s="2"/>
      <c r="AD31" s="2"/>
      <c r="AE31" s="2"/>
      <c r="AF31" s="2"/>
      <c r="AG31" s="21"/>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row>
    <row r="32" spans="2:63" x14ac:dyDescent="0.55000000000000004">
      <c r="H32" s="105"/>
      <c r="J32" s="2"/>
      <c r="K32" s="2"/>
      <c r="N32" s="2"/>
      <c r="O32" s="2"/>
      <c r="P32" s="2"/>
      <c r="Q32" s="2"/>
      <c r="S32" s="2"/>
      <c r="T32" s="2"/>
      <c r="U32" s="2"/>
      <c r="V32" s="2"/>
      <c r="W32" s="2"/>
      <c r="X32" s="2"/>
      <c r="Y32" s="2"/>
      <c r="Z32" s="2"/>
      <c r="AA32" s="22"/>
      <c r="AB32" s="2"/>
      <c r="AC32" s="2"/>
      <c r="AD32" s="2"/>
      <c r="AE32" s="2"/>
      <c r="AF32" s="2"/>
      <c r="AG32" s="21"/>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row>
    <row r="33" spans="1:63" x14ac:dyDescent="0.55000000000000004">
      <c r="H33" s="105"/>
      <c r="J33" s="2"/>
      <c r="K33" s="2"/>
      <c r="N33" s="2"/>
      <c r="O33" s="2"/>
      <c r="P33" s="2"/>
      <c r="Q33" s="2"/>
      <c r="S33" s="2"/>
      <c r="T33" s="2"/>
      <c r="U33" s="2"/>
      <c r="V33" s="2"/>
      <c r="W33" s="2"/>
      <c r="X33" s="2"/>
      <c r="Y33" s="2"/>
      <c r="Z33" s="2"/>
      <c r="AA33" s="22"/>
      <c r="AB33" s="2"/>
      <c r="AC33" s="2"/>
      <c r="AD33" s="2"/>
      <c r="AE33" s="2"/>
      <c r="AF33" s="2"/>
      <c r="AG33" s="21"/>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row>
    <row r="34" spans="1:63" ht="18.3" x14ac:dyDescent="0.55000000000000004">
      <c r="A34" s="2"/>
      <c r="B34" s="143" t="s">
        <v>164</v>
      </c>
      <c r="C34" s="107"/>
      <c r="D34" s="108"/>
      <c r="H34" s="105"/>
      <c r="J34" s="2"/>
      <c r="K34" s="2"/>
      <c r="N34" s="2"/>
      <c r="O34" s="2"/>
      <c r="P34" s="2"/>
      <c r="Q34" s="2"/>
      <c r="S34" s="2"/>
      <c r="T34" s="2"/>
      <c r="U34" s="2"/>
      <c r="V34" s="2"/>
      <c r="W34" s="2"/>
      <c r="X34" s="2"/>
      <c r="Y34" s="2"/>
      <c r="Z34" s="2"/>
      <c r="AA34" s="22"/>
      <c r="AB34" s="2"/>
      <c r="AC34" s="2"/>
      <c r="AD34" s="2"/>
      <c r="AE34" s="2"/>
      <c r="AF34" s="2"/>
      <c r="AG34" s="21"/>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row>
    <row r="35" spans="1:63" outlineLevel="1" x14ac:dyDescent="0.55000000000000004">
      <c r="D35" s="2"/>
      <c r="E35" s="2"/>
      <c r="F35" s="2"/>
      <c r="G35" s="2"/>
      <c r="H35" s="2"/>
      <c r="I35" s="2"/>
      <c r="J35" s="2"/>
      <c r="K35" s="2"/>
      <c r="L35" s="2"/>
      <c r="M35" s="2"/>
      <c r="N35" s="2"/>
      <c r="O35" s="2"/>
      <c r="P35" s="2"/>
      <c r="Q35" s="2"/>
      <c r="R35" s="2"/>
      <c r="S35" s="2"/>
      <c r="T35" s="2"/>
      <c r="U35" s="2"/>
      <c r="V35" s="2"/>
      <c r="W35" s="2"/>
      <c r="X35" s="45"/>
      <c r="Y35" s="46"/>
      <c r="Z35" s="2"/>
      <c r="AA35" s="2"/>
      <c r="AB35" s="2"/>
      <c r="AC35" s="2"/>
      <c r="AD35" s="2"/>
      <c r="AE35" s="2"/>
      <c r="AF35" s="2"/>
      <c r="AG35" s="21"/>
      <c r="AH35" s="2"/>
      <c r="AI35" s="2"/>
      <c r="AJ35" s="2"/>
      <c r="AK35" s="2"/>
      <c r="AL35" s="2"/>
    </row>
    <row r="36" spans="1:63" ht="19.899999999999999" customHeight="1" outlineLevel="1" x14ac:dyDescent="0.55000000000000004">
      <c r="B36" s="185" t="s">
        <v>67</v>
      </c>
      <c r="C36" s="185"/>
      <c r="D36" s="185"/>
      <c r="E36" s="2"/>
      <c r="F36" s="187" t="s">
        <v>127</v>
      </c>
      <c r="G36" s="187"/>
      <c r="H36" s="187"/>
      <c r="I36" s="2"/>
      <c r="J36" s="187" t="s">
        <v>69</v>
      </c>
      <c r="K36" s="187"/>
      <c r="L36" s="187"/>
      <c r="M36" s="187"/>
      <c r="N36" s="2"/>
      <c r="O36" s="187" t="s">
        <v>38</v>
      </c>
      <c r="P36" s="187"/>
      <c r="Q36" s="187"/>
      <c r="R36" s="187"/>
      <c r="S36" s="2"/>
      <c r="T36" s="190" t="s">
        <v>461</v>
      </c>
      <c r="U36" s="190"/>
      <c r="W36" s="189" t="s">
        <v>31</v>
      </c>
      <c r="X36" s="189"/>
      <c r="Y36" s="189"/>
      <c r="Z36" s="189"/>
      <c r="AA36" s="189"/>
      <c r="AB36" s="189"/>
      <c r="AC36" s="2"/>
      <c r="AD36" s="189" t="s">
        <v>32</v>
      </c>
      <c r="AE36" s="189"/>
      <c r="AF36" s="189"/>
      <c r="AG36" s="189"/>
      <c r="AH36" s="189"/>
      <c r="AI36" s="189"/>
      <c r="AJ36" s="21"/>
      <c r="AK36" s="189" t="s">
        <v>149</v>
      </c>
      <c r="AL36" s="189"/>
      <c r="AM36" s="19"/>
      <c r="AN36" s="189" t="s">
        <v>325</v>
      </c>
      <c r="AO36" s="189"/>
    </row>
    <row r="37" spans="1:63" ht="30.6" customHeight="1" outlineLevel="1" x14ac:dyDescent="0.55000000000000004">
      <c r="B37" s="145" t="s">
        <v>145</v>
      </c>
      <c r="C37" s="145" t="s">
        <v>10</v>
      </c>
      <c r="D37" s="78" t="s">
        <v>124</v>
      </c>
      <c r="E37" s="13"/>
      <c r="F37" s="82" t="s">
        <v>127</v>
      </c>
      <c r="G37" s="82" t="s">
        <v>153</v>
      </c>
      <c r="H37" s="133" t="s">
        <v>2</v>
      </c>
      <c r="I37" s="2"/>
      <c r="J37" s="88" t="s">
        <v>125</v>
      </c>
      <c r="K37" s="88" t="s">
        <v>36</v>
      </c>
      <c r="L37" s="48" t="s">
        <v>129</v>
      </c>
      <c r="M37" s="133" t="s">
        <v>2</v>
      </c>
      <c r="N37" s="13"/>
      <c r="O37" s="91" t="s">
        <v>126</v>
      </c>
      <c r="P37" s="91" t="s">
        <v>36</v>
      </c>
      <c r="Q37" s="92" t="s">
        <v>130</v>
      </c>
      <c r="R37" s="133" t="s">
        <v>2</v>
      </c>
      <c r="S37" s="55"/>
      <c r="T37" s="91" t="s">
        <v>154</v>
      </c>
      <c r="U37" s="91" t="s">
        <v>36</v>
      </c>
      <c r="W37" s="53" t="s">
        <v>12</v>
      </c>
      <c r="X37" s="53" t="s">
        <v>34</v>
      </c>
      <c r="Y37" s="53" t="s">
        <v>35</v>
      </c>
      <c r="Z37" s="53" t="s">
        <v>41</v>
      </c>
      <c r="AA37" s="56" t="s">
        <v>119</v>
      </c>
      <c r="AB37" s="53" t="s">
        <v>1</v>
      </c>
      <c r="AC37" s="55"/>
      <c r="AD37" s="53" t="s">
        <v>12</v>
      </c>
      <c r="AE37" s="53" t="s">
        <v>34</v>
      </c>
      <c r="AF37" s="53" t="s">
        <v>35</v>
      </c>
      <c r="AG37" s="56" t="s">
        <v>41</v>
      </c>
      <c r="AH37" s="56" t="s">
        <v>119</v>
      </c>
      <c r="AI37" s="53" t="s">
        <v>1</v>
      </c>
      <c r="AJ37" s="57"/>
      <c r="AK37" s="58" t="s">
        <v>3</v>
      </c>
      <c r="AL37" s="58" t="s">
        <v>0</v>
      </c>
      <c r="AM37" s="19"/>
      <c r="AN37" s="76" t="s">
        <v>45</v>
      </c>
      <c r="AO37" s="76" t="s">
        <v>146</v>
      </c>
      <c r="AP37" s="19"/>
      <c r="AQ37" s="19"/>
      <c r="AR37" s="19"/>
      <c r="AS37" s="19"/>
    </row>
    <row r="38" spans="1:63" s="19" customFormat="1" outlineLevel="1" x14ac:dyDescent="0.55000000000000004">
      <c r="B38" s="15" t="s">
        <v>169</v>
      </c>
      <c r="C38" s="15" t="s">
        <v>170</v>
      </c>
      <c r="D38" s="16" t="s">
        <v>171</v>
      </c>
      <c r="E38" s="20"/>
      <c r="F38" s="83" t="s">
        <v>172</v>
      </c>
      <c r="G38" s="83" t="s">
        <v>173</v>
      </c>
      <c r="H38" s="18" t="s">
        <v>174</v>
      </c>
      <c r="I38" s="23"/>
      <c r="J38" s="18" t="s">
        <v>175</v>
      </c>
      <c r="K38" s="18" t="s">
        <v>176</v>
      </c>
      <c r="L38" s="18" t="s">
        <v>180</v>
      </c>
      <c r="M38" s="17" t="s">
        <v>181</v>
      </c>
      <c r="N38" s="20"/>
      <c r="O38" s="17" t="s">
        <v>182</v>
      </c>
      <c r="P38" s="17" t="s">
        <v>183</v>
      </c>
      <c r="Q38" s="17" t="s">
        <v>184</v>
      </c>
      <c r="R38" s="142" t="s">
        <v>185</v>
      </c>
      <c r="S38" s="61"/>
      <c r="T38" s="17" t="s">
        <v>186</v>
      </c>
      <c r="U38" s="17" t="s">
        <v>187</v>
      </c>
      <c r="W38" s="60" t="s">
        <v>188</v>
      </c>
      <c r="X38" s="60" t="s">
        <v>189</v>
      </c>
      <c r="Y38" s="60" t="s">
        <v>190</v>
      </c>
      <c r="Z38" s="60" t="s">
        <v>191</v>
      </c>
      <c r="AA38" s="60" t="s">
        <v>192</v>
      </c>
      <c r="AB38" s="60" t="s">
        <v>193</v>
      </c>
      <c r="AC38" s="61"/>
      <c r="AD38" s="60" t="s">
        <v>194</v>
      </c>
      <c r="AE38" s="60" t="s">
        <v>195</v>
      </c>
      <c r="AF38" s="60" t="s">
        <v>196</v>
      </c>
      <c r="AG38" s="60" t="s">
        <v>197</v>
      </c>
      <c r="AH38" s="60" t="s">
        <v>198</v>
      </c>
      <c r="AI38" s="60" t="s">
        <v>199</v>
      </c>
      <c r="AJ38" s="62"/>
      <c r="AK38" s="60" t="s">
        <v>200</v>
      </c>
      <c r="AL38" s="60" t="s">
        <v>201</v>
      </c>
      <c r="AN38" s="60" t="s">
        <v>202</v>
      </c>
      <c r="AO38" s="60" t="s">
        <v>203</v>
      </c>
    </row>
    <row r="39" spans="1:63" outlineLevel="1" x14ac:dyDescent="0.55000000000000004">
      <c r="B39" s="1"/>
      <c r="C39" s="3">
        <v>0</v>
      </c>
      <c r="D39" s="87">
        <v>1</v>
      </c>
      <c r="E39" s="2"/>
      <c r="F39" s="84">
        <v>1</v>
      </c>
      <c r="G39" s="84"/>
      <c r="H39" s="5"/>
      <c r="I39" s="2"/>
      <c r="J39" s="2"/>
      <c r="K39" s="2"/>
      <c r="L39" s="55"/>
      <c r="M39" s="55"/>
      <c r="N39" s="2"/>
      <c r="O39" s="10"/>
      <c r="P39" s="10"/>
      <c r="Q39" s="49"/>
      <c r="R39" s="55"/>
      <c r="S39" s="55"/>
      <c r="T39" s="2"/>
      <c r="U39" s="2"/>
      <c r="W39" s="63">
        <f>IFERROR(IF(C39&gt;=$F$7*4,0,-IF($F$22="pattern",U40*$F$21,IF(AND($F$22="single",C39=0),$F$21,IF(AND($F$22="annual",MOD(C39,4)=0),$F$21/$F$7,IF(AND($F$22="semi-ann",MOD(C39,2)=0),$F$21/(2*$F$7),IF($F$22="quarterly",$F$21/(4*$F$7),0)))))*F39),0)</f>
        <v>-9000000</v>
      </c>
      <c r="X39" s="63"/>
      <c r="Y39" s="63"/>
      <c r="Z39" s="63">
        <f>-$F$13*$F$21</f>
        <v>-900000</v>
      </c>
      <c r="AA39" s="63"/>
      <c r="AB39" s="64">
        <f t="shared" ref="AB39:AB59" si="0">SUM(W39:AA39)</f>
        <v>-9900000</v>
      </c>
      <c r="AC39" s="55"/>
      <c r="AD39" s="64">
        <f t="shared" ref="AD39:AD59" si="1">W39*$D39</f>
        <v>-9000000</v>
      </c>
      <c r="AE39" s="64"/>
      <c r="AF39" s="64"/>
      <c r="AG39" s="64">
        <f t="shared" ref="AG39:AG59" si="2">Z39*$D39</f>
        <v>-900000</v>
      </c>
      <c r="AH39" s="64"/>
      <c r="AI39" s="64">
        <f t="shared" ref="AI39:AI59" si="3">SUM(AD39:AH39)</f>
        <v>-9900000</v>
      </c>
      <c r="AJ39" s="57"/>
      <c r="AK39" s="51">
        <f ca="1">SUM(AD39:AD$59,AG39:AG$59)/D39+SUM(AE40:AF$60,AH40:AH$59)/D39</f>
        <v>-4234766.1535662161</v>
      </c>
      <c r="AL39" s="51">
        <f>SUM(AE40:$AF$60)*$F$14/D39</f>
        <v>116969.28841433441</v>
      </c>
      <c r="AM39" s="19"/>
      <c r="AN39" s="51">
        <f ca="1">-SUM(AD39:$AD$60,AH39:$AH$60)/D39</f>
        <v>5674151.9218529062</v>
      </c>
      <c r="AO39" s="51">
        <f ca="1">-SUM(W39:$W$60,AA39:$AA$60)</f>
        <v>5575985.4732461274</v>
      </c>
      <c r="AP39" s="19"/>
      <c r="AQ39" s="19"/>
      <c r="AR39" s="19"/>
      <c r="AS39" s="19"/>
    </row>
    <row r="40" spans="1:63" outlineLevel="1" x14ac:dyDescent="0.55000000000000004">
      <c r="A40" s="9"/>
      <c r="B40" s="1" t="s">
        <v>6</v>
      </c>
      <c r="C40" s="3">
        <v>1</v>
      </c>
      <c r="D40" s="87">
        <f t="shared" ref="D40:D59" si="4">D39/(1+$F$17)^(1/4)</f>
        <v>0.99506157747984325</v>
      </c>
      <c r="E40" s="4"/>
      <c r="F40" s="84">
        <f t="shared" ref="F40:F51" si="5">(1-$F$19)^(C40/4)</f>
        <v>0.94574160900317583</v>
      </c>
      <c r="G40" s="84">
        <f>AVERAGE(F39:F40)</f>
        <v>0.97287080450158792</v>
      </c>
      <c r="H40" s="84">
        <f>F40*D40</f>
        <v>0.94107113734302528</v>
      </c>
      <c r="I40" s="4"/>
      <c r="J40" s="98">
        <v>1</v>
      </c>
      <c r="K40" s="94">
        <f t="shared" ref="K40:K51" si="6">J40/$J$62</f>
        <v>0.05</v>
      </c>
      <c r="L40" s="47">
        <f>J40*G40</f>
        <v>0.97287080450158792</v>
      </c>
      <c r="M40" s="47">
        <f>L40*D40</f>
        <v>0.96806635741143421</v>
      </c>
      <c r="N40" s="4"/>
      <c r="O40" s="98">
        <v>1</v>
      </c>
      <c r="P40" s="94">
        <f t="shared" ref="P40:P51" si="7">O40/$O$62</f>
        <v>0.05</v>
      </c>
      <c r="Q40" s="47">
        <f>O40*G40</f>
        <v>0.97287080450158792</v>
      </c>
      <c r="R40" s="47">
        <f>Q40*D40</f>
        <v>0.96806635741143421</v>
      </c>
      <c r="T40" s="130">
        <v>0.20282873599525819</v>
      </c>
      <c r="U40" s="135">
        <f>T40/$T$62</f>
        <v>0.20282873599525819</v>
      </c>
      <c r="W40" s="63">
        <f t="shared" ref="W40:W59" si="8">IFERROR(IF(C40&gt;=$F$7*4,0,-IF($F$22="pattern",U41*$F$21,IF(AND($F$22="single",C40=0),$F$21,IF(AND($F$22="annual",MOD(C40,4)=0),$F$21/$F$7,IF(AND($F$22="semi-ann",MOD(C40,2)=0),$F$21/(2*$F$7),IF($F$22="quarterly",$F$21/(4*$F$7),0)))))*F40),0)</f>
        <v>0</v>
      </c>
      <c r="X40" s="63">
        <f t="shared" ref="X40:X59" si="9">$F$21*$F$11*P40*((1+$F$18)^(C40/4))*F40</f>
        <v>255986.22997766148</v>
      </c>
      <c r="Y40" s="63">
        <f>-$F$21*$F$12*IF($F$28="risk",P40*F40,IF($F$28="policies IF",F40/($F$7*4),1/($F$7*4)))</f>
        <v>-63837.558607714374</v>
      </c>
      <c r="Z40" s="63">
        <v>0</v>
      </c>
      <c r="AA40" s="63">
        <f t="shared" ref="AA40:AA59" ca="1" si="10">IF($F$25="no",0,1)*(F40-F39)*OFFSET(W40,-IF($F$22="single",C40,IF($F$22="annual",MOD(C40,4),IF($F$22="semi-ann",MOD(C40,2),0))),0)*IF($F$22="single",($F$7*4-C40)/($F$7*4),IF(AND($F$22="annual",MOD(C40,4)&lt;&gt;0),(4-MOD(C40,4))/4,IF(AND($F$22="semi-ann",MOD(C40,2)&lt;&gt;0),0.5,0)))</f>
        <v>463909.24302284658</v>
      </c>
      <c r="AB40" s="64">
        <f t="shared" ca="1" si="0"/>
        <v>656057.91439279367</v>
      </c>
      <c r="AC40" s="51"/>
      <c r="AD40" s="51">
        <f t="shared" si="1"/>
        <v>0</v>
      </c>
      <c r="AE40" s="64">
        <f t="shared" ref="AE40:AE59" si="11">X40*$D40</f>
        <v>254722.06181468978</v>
      </c>
      <c r="AF40" s="64">
        <f t="shared" ref="AF40:AF59" si="12">Y40*$D40</f>
        <v>-63522.301770654209</v>
      </c>
      <c r="AG40" s="51">
        <f t="shared" si="2"/>
        <v>0</v>
      </c>
      <c r="AH40" s="64">
        <f t="shared" ref="AH40:AH59" ca="1" si="13">AA40*$D40</f>
        <v>461618.2631697937</v>
      </c>
      <c r="AI40" s="64">
        <f t="shared" ca="1" si="3"/>
        <v>652818.02321382926</v>
      </c>
      <c r="AJ40" s="11"/>
      <c r="AK40" s="51">
        <f ca="1">SUM(AD40:AD$59,AG40:AG$59)/D40+SUM(AE41:AF$60,AH41:AH$59)/D40</f>
        <v>5037292.0999670401</v>
      </c>
      <c r="AL40" s="51">
        <f>SUM(AE41:$AF$60)*$F$14/D40</f>
        <v>107942.3654204038</v>
      </c>
      <c r="AM40" s="19"/>
      <c r="AN40" s="51">
        <f ca="1">-SUM(AD40:$AD$60,AH40:$AH$60)/D40</f>
        <v>-3342354.0345818088</v>
      </c>
      <c r="AO40" s="51">
        <f ca="1">-SUM(W40:$W$60,AA40:$AA$60)</f>
        <v>-3424014.526753875</v>
      </c>
      <c r="AP40" s="19"/>
      <c r="AQ40" s="126"/>
      <c r="AR40" s="19"/>
      <c r="AS40" s="19"/>
    </row>
    <row r="41" spans="1:63" outlineLevel="1" x14ac:dyDescent="0.55000000000000004">
      <c r="A41" s="9"/>
      <c r="B41" s="1" t="s">
        <v>7</v>
      </c>
      <c r="C41" s="3">
        <v>2</v>
      </c>
      <c r="D41" s="87">
        <f t="shared" si="4"/>
        <v>0.99014754297667418</v>
      </c>
      <c r="E41" s="4"/>
      <c r="F41" s="84">
        <f t="shared" si="5"/>
        <v>0.89442719099991586</v>
      </c>
      <c r="G41" s="84">
        <f t="shared" ref="G41:G51" si="14">AVERAGE(F40:F41)</f>
        <v>0.92008440000154579</v>
      </c>
      <c r="H41" s="84">
        <f t="shared" ref="H41:H51" si="15">F41*D41</f>
        <v>0.88561488554009515</v>
      </c>
      <c r="I41" s="4"/>
      <c r="J41" s="98">
        <v>1</v>
      </c>
      <c r="K41" s="94">
        <f t="shared" si="6"/>
        <v>0.05</v>
      </c>
      <c r="L41" s="47">
        <f t="shared" ref="L41:L51" si="16">J41*G41</f>
        <v>0.92008440000154579</v>
      </c>
      <c r="M41" s="47">
        <f t="shared" ref="M41:M51" si="17">L41*D41</f>
        <v>0.91101930799269804</v>
      </c>
      <c r="N41" s="4"/>
      <c r="O41" s="98">
        <v>1</v>
      </c>
      <c r="P41" s="94">
        <f t="shared" si="7"/>
        <v>0.05</v>
      </c>
      <c r="Q41" s="47">
        <f t="shared" ref="Q41:Q51" si="18">O41*G41</f>
        <v>0.92008440000154579</v>
      </c>
      <c r="R41" s="47">
        <f t="shared" ref="R41:R51" si="19">Q41*D41</f>
        <v>0.91101930799269804</v>
      </c>
      <c r="S41" s="51"/>
      <c r="T41" s="130">
        <v>0.17818906429460918</v>
      </c>
      <c r="U41" s="135">
        <f t="shared" ref="U41:U59" si="20">T41/$T$62</f>
        <v>0.17818906429460918</v>
      </c>
      <c r="W41" s="63">
        <f t="shared" si="8"/>
        <v>0</v>
      </c>
      <c r="X41" s="63">
        <f t="shared" si="9"/>
        <v>242699.81458583768</v>
      </c>
      <c r="Y41" s="63">
        <f t="shared" ref="Y41:Y59" si="21">-$F$21*$F$12*IF($F$28="risk",P41*F41,IF($F$28="policies IF",F41/($F$7*4),1/($F$7*4)))</f>
        <v>-60373.835392494322</v>
      </c>
      <c r="Z41" s="63">
        <v>0</v>
      </c>
      <c r="AA41" s="63">
        <f t="shared" ca="1" si="10"/>
        <v>415646.7858264058</v>
      </c>
      <c r="AB41" s="64">
        <f t="shared" ca="1" si="0"/>
        <v>597972.76501974917</v>
      </c>
      <c r="AC41" s="51"/>
      <c r="AD41" s="51">
        <f t="shared" si="1"/>
        <v>0</v>
      </c>
      <c r="AE41" s="64">
        <f t="shared" si="11"/>
        <v>240308.62509306156</v>
      </c>
      <c r="AF41" s="64">
        <f t="shared" si="12"/>
        <v>-59779.004773956425</v>
      </c>
      <c r="AG41" s="51">
        <f t="shared" si="2"/>
        <v>0</v>
      </c>
      <c r="AH41" s="64">
        <f t="shared" ca="1" si="13"/>
        <v>411551.64373216761</v>
      </c>
      <c r="AI41" s="64">
        <f t="shared" ca="1" si="3"/>
        <v>592081.26405127277</v>
      </c>
      <c r="AJ41" s="57"/>
      <c r="AK41" s="51">
        <f ca="1">SUM(AD41:AD$59,AG41:AG$59)/D41+SUM(AE42:AF$60,AH42:AH$59)/D41</f>
        <v>4464319.0709536672</v>
      </c>
      <c r="AL41" s="51">
        <f>SUM(AE42:$AF$60)*$F$14/D41</f>
        <v>99361.777034167841</v>
      </c>
      <c r="AM41" s="19"/>
      <c r="AN41" s="51">
        <f ca="1">-SUM(AD41:$AD$60,AH41:$AH$60)/D41</f>
        <v>-2892730.3160967147</v>
      </c>
      <c r="AO41" s="51">
        <f ca="1">-SUM(W41:$W$60,AA41:$AA$60)</f>
        <v>-2960105.2837310289</v>
      </c>
      <c r="AP41" s="19"/>
      <c r="AQ41" s="126"/>
      <c r="AR41" s="19"/>
      <c r="AS41" s="19"/>
    </row>
    <row r="42" spans="1:63" outlineLevel="1" x14ac:dyDescent="0.55000000000000004">
      <c r="A42" s="9"/>
      <c r="B42" s="1" t="s">
        <v>8</v>
      </c>
      <c r="C42" s="3">
        <v>3</v>
      </c>
      <c r="D42" s="87">
        <f t="shared" si="4"/>
        <v>0.98525777605216036</v>
      </c>
      <c r="E42" s="4"/>
      <c r="F42" s="84">
        <f>(1-$F$19)^(C42/4)</f>
        <v>0.84589701075245127</v>
      </c>
      <c r="G42" s="84">
        <f t="shared" si="14"/>
        <v>0.87016210087618351</v>
      </c>
      <c r="H42" s="84">
        <f t="shared" si="15"/>
        <v>0.83342660758313047</v>
      </c>
      <c r="I42" s="4"/>
      <c r="J42" s="98">
        <v>1</v>
      </c>
      <c r="K42" s="94">
        <f t="shared" si="6"/>
        <v>0.05</v>
      </c>
      <c r="L42" s="47">
        <f t="shared" si="16"/>
        <v>0.87016210087618351</v>
      </c>
      <c r="M42" s="47">
        <f t="shared" si="17"/>
        <v>0.85733397631414421</v>
      </c>
      <c r="N42" s="4"/>
      <c r="O42" s="98">
        <v>1</v>
      </c>
      <c r="P42" s="94">
        <f t="shared" si="7"/>
        <v>0.05</v>
      </c>
      <c r="Q42" s="47">
        <f t="shared" si="18"/>
        <v>0.87016210087618351</v>
      </c>
      <c r="R42" s="47">
        <f t="shared" si="19"/>
        <v>0.85733397631414421</v>
      </c>
      <c r="S42" s="51"/>
      <c r="T42" s="130">
        <v>0.20194032380116383</v>
      </c>
      <c r="U42" s="135">
        <f t="shared" si="20"/>
        <v>0.20194032380116383</v>
      </c>
      <c r="W42" s="63">
        <f t="shared" si="8"/>
        <v>0</v>
      </c>
      <c r="X42" s="63">
        <f t="shared" si="9"/>
        <v>230103.00204483719</v>
      </c>
      <c r="Y42" s="63">
        <f t="shared" si="21"/>
        <v>-57098.048225790466</v>
      </c>
      <c r="Z42" s="63">
        <v>0</v>
      </c>
      <c r="AA42" s="63">
        <f t="shared" ca="1" si="10"/>
        <v>371255.87889310409</v>
      </c>
      <c r="AB42" s="64">
        <f t="shared" ca="1" si="0"/>
        <v>544260.83271215088</v>
      </c>
      <c r="AC42" s="51"/>
      <c r="AD42" s="51">
        <f t="shared" si="1"/>
        <v>0</v>
      </c>
      <c r="AE42" s="64">
        <f t="shared" si="11"/>
        <v>226710.772057622</v>
      </c>
      <c r="AF42" s="64">
        <f t="shared" si="12"/>
        <v>-56256.296011861312</v>
      </c>
      <c r="AG42" s="51">
        <f t="shared" si="2"/>
        <v>0</v>
      </c>
      <c r="AH42" s="64">
        <f t="shared" ca="1" si="13"/>
        <v>365782.7415845099</v>
      </c>
      <c r="AI42" s="64">
        <f t="shared" ca="1" si="3"/>
        <v>536237.21763027064</v>
      </c>
      <c r="AJ42" s="57"/>
      <c r="AK42" s="51">
        <f ca="1">SUM(AD42:AD$59,AG42:AG$59)/D42+SUM(AE43:AF$60,AH43:AH$59)/D42</f>
        <v>3942214.3483116068</v>
      </c>
      <c r="AL42" s="51">
        <f>SUM(AE43:$AF$60)*$F$14/D42</f>
        <v>91204.655043628038</v>
      </c>
      <c r="AM42" s="19"/>
      <c r="AN42" s="51">
        <f ca="1">-SUM(AD42:$AD$60,AH42:$AH$60)/D42</f>
        <v>-2489377.1263321508</v>
      </c>
      <c r="AO42" s="51">
        <f ca="1">-SUM(W42:$W$60,AA42:$AA$60)</f>
        <v>-2544458.4979046229</v>
      </c>
      <c r="AP42" s="19"/>
      <c r="AQ42" s="126"/>
      <c r="AR42" s="19"/>
      <c r="AS42" s="19"/>
    </row>
    <row r="43" spans="1:63" outlineLevel="1" x14ac:dyDescent="0.55000000000000004">
      <c r="A43" s="9"/>
      <c r="B43" s="1" t="s">
        <v>9</v>
      </c>
      <c r="C43" s="3">
        <v>4</v>
      </c>
      <c r="D43" s="87">
        <f t="shared" si="4"/>
        <v>0.98039215686274483</v>
      </c>
      <c r="E43" s="4"/>
      <c r="F43" s="84">
        <f t="shared" si="5"/>
        <v>0.8</v>
      </c>
      <c r="G43" s="84">
        <f t="shared" si="14"/>
        <v>0.82294850537622566</v>
      </c>
      <c r="H43" s="84">
        <f t="shared" si="15"/>
        <v>0.78431372549019596</v>
      </c>
      <c r="I43" s="4"/>
      <c r="J43" s="98">
        <v>1</v>
      </c>
      <c r="K43" s="94">
        <f t="shared" si="6"/>
        <v>0.05</v>
      </c>
      <c r="L43" s="47">
        <f t="shared" si="16"/>
        <v>0.82294850537622566</v>
      </c>
      <c r="M43" s="47">
        <f t="shared" si="17"/>
        <v>0.80681226017277008</v>
      </c>
      <c r="N43" s="4"/>
      <c r="O43" s="98">
        <v>1</v>
      </c>
      <c r="P43" s="94">
        <f t="shared" si="7"/>
        <v>0.05</v>
      </c>
      <c r="Q43" s="47">
        <f t="shared" si="18"/>
        <v>0.82294850537622566</v>
      </c>
      <c r="R43" s="47">
        <f t="shared" si="19"/>
        <v>0.80681226017277008</v>
      </c>
      <c r="S43" s="51"/>
      <c r="T43" s="130">
        <v>0.20709640104961757</v>
      </c>
      <c r="U43" s="135">
        <f t="shared" si="20"/>
        <v>0.20709640104961757</v>
      </c>
      <c r="W43" s="63">
        <f t="shared" si="8"/>
        <v>0</v>
      </c>
      <c r="X43" s="63">
        <f t="shared" si="9"/>
        <v>218160</v>
      </c>
      <c r="Y43" s="63">
        <f t="shared" si="21"/>
        <v>-54000.000000000007</v>
      </c>
      <c r="Z43" s="63">
        <v>0</v>
      </c>
      <c r="AA43" s="63">
        <f t="shared" ca="1" si="10"/>
        <v>330458.47741764889</v>
      </c>
      <c r="AB43" s="64">
        <f t="shared" ca="1" si="0"/>
        <v>494618.47741764889</v>
      </c>
      <c r="AC43" s="51"/>
      <c r="AD43" s="51">
        <f t="shared" si="1"/>
        <v>0</v>
      </c>
      <c r="AE43" s="64">
        <f t="shared" si="11"/>
        <v>213882.35294117642</v>
      </c>
      <c r="AF43" s="64">
        <f t="shared" si="12"/>
        <v>-52941.176470588231</v>
      </c>
      <c r="AG43" s="51">
        <f t="shared" si="2"/>
        <v>0</v>
      </c>
      <c r="AH43" s="64">
        <f t="shared" ca="1" si="13"/>
        <v>323978.89942906745</v>
      </c>
      <c r="AI43" s="64">
        <f t="shared" ca="1" si="3"/>
        <v>484920.07589965564</v>
      </c>
      <c r="AJ43" s="57"/>
      <c r="AK43" s="51">
        <f ca="1">SUM(AD43:AD$59,AG43:AG$59)/D43+SUM(AE44:AF$60,AH44:AH$59)/D43</f>
        <v>3467160.8109515305</v>
      </c>
      <c r="AL43" s="51">
        <f>SUM(AE44:$AF$60)*$F$14/D43</f>
        <v>83449.29750576723</v>
      </c>
      <c r="AM43" s="19"/>
      <c r="AN43" s="51">
        <f ca="1">-SUM(AD43:$AD$60,AH43:$AH$60)/D43</f>
        <v>-2128633.3382538361</v>
      </c>
      <c r="AO43" s="51">
        <f ca="1">-SUM(W43:$W$60,AA43:$AA$60)</f>
        <v>-2173202.6190115181</v>
      </c>
      <c r="AP43" s="19"/>
      <c r="AQ43" s="126"/>
      <c r="AR43" s="19"/>
      <c r="AS43" s="19"/>
    </row>
    <row r="44" spans="1:63" outlineLevel="1" x14ac:dyDescent="0.55000000000000004">
      <c r="A44" s="9"/>
      <c r="B44" s="1" t="s">
        <v>15</v>
      </c>
      <c r="C44" s="3">
        <v>5</v>
      </c>
      <c r="D44" s="87">
        <f t="shared" si="4"/>
        <v>0.97555056615670888</v>
      </c>
      <c r="E44" s="4"/>
      <c r="F44" s="84">
        <f t="shared" si="5"/>
        <v>0.75659328720254071</v>
      </c>
      <c r="G44" s="84">
        <f t="shared" si="14"/>
        <v>0.77829664360127038</v>
      </c>
      <c r="H44" s="84">
        <f t="shared" si="15"/>
        <v>0.73809500968080399</v>
      </c>
      <c r="I44" s="4"/>
      <c r="J44" s="98">
        <v>1</v>
      </c>
      <c r="K44" s="94">
        <f t="shared" si="6"/>
        <v>0.05</v>
      </c>
      <c r="L44" s="47">
        <f t="shared" si="16"/>
        <v>0.77829664360127038</v>
      </c>
      <c r="M44" s="47">
        <f t="shared" si="17"/>
        <v>0.75926773130308556</v>
      </c>
      <c r="N44" s="4"/>
      <c r="O44" s="98">
        <v>1</v>
      </c>
      <c r="P44" s="94">
        <f t="shared" si="7"/>
        <v>0.05</v>
      </c>
      <c r="Q44" s="47">
        <f t="shared" si="18"/>
        <v>0.77829664360127038</v>
      </c>
      <c r="R44" s="47">
        <f t="shared" si="19"/>
        <v>0.75926773130308556</v>
      </c>
      <c r="S44" s="51"/>
      <c r="T44" s="130">
        <v>8.3175297485096111E-2</v>
      </c>
      <c r="U44" s="135">
        <f t="shared" si="20"/>
        <v>8.3175297485096111E-2</v>
      </c>
      <c r="W44" s="63">
        <f t="shared" si="8"/>
        <v>0</v>
      </c>
      <c r="X44" s="63">
        <f t="shared" si="9"/>
        <v>206836.87382195049</v>
      </c>
      <c r="Y44" s="63">
        <f t="shared" si="21"/>
        <v>-51070.046886171498</v>
      </c>
      <c r="Z44" s="63">
        <v>0</v>
      </c>
      <c r="AA44" s="63">
        <f t="shared" ca="1" si="10"/>
        <v>292995.31138285052</v>
      </c>
      <c r="AB44" s="64">
        <f t="shared" ca="1" si="0"/>
        <v>448762.13831862947</v>
      </c>
      <c r="AC44" s="51"/>
      <c r="AD44" s="51">
        <f t="shared" si="1"/>
        <v>0</v>
      </c>
      <c r="AE44" s="64">
        <f t="shared" si="11"/>
        <v>201779.82935908757</v>
      </c>
      <c r="AF44" s="64">
        <f t="shared" si="12"/>
        <v>-49821.413153454276</v>
      </c>
      <c r="AG44" s="51">
        <f t="shared" si="2"/>
        <v>0</v>
      </c>
      <c r="AH44" s="64">
        <f t="shared" ca="1" si="13"/>
        <v>285831.74190080102</v>
      </c>
      <c r="AI44" s="64">
        <f t="shared" ca="1" si="3"/>
        <v>437790.15810643428</v>
      </c>
      <c r="AJ44" s="57"/>
      <c r="AK44" s="51">
        <f ca="1">SUM(AD44:AD$59,AG44:AG$59)/D44+SUM(AE45:AF$60,AH45:AH$59)/D44</f>
        <v>3035605.9544909471</v>
      </c>
      <c r="AL44" s="51">
        <f>SUM(AE45:$AF$60)*$F$14/D44</f>
        <v>76075.109312331319</v>
      </c>
      <c r="AM44" s="19"/>
      <c r="AN44" s="51">
        <f ca="1">-SUM(AD44:$AD$60,AH44:$AH$60)/D44</f>
        <v>-1807099.0796271723</v>
      </c>
      <c r="AO44" s="51">
        <f ca="1">-SUM(W44:$W$60,AA44:$AA$60)</f>
        <v>-1842744.1415938688</v>
      </c>
      <c r="AP44" s="19"/>
      <c r="AQ44" s="126"/>
      <c r="AR44" s="19"/>
      <c r="AS44" s="19"/>
    </row>
    <row r="45" spans="1:63" outlineLevel="1" x14ac:dyDescent="0.55000000000000004">
      <c r="A45" s="9"/>
      <c r="B45" s="1" t="s">
        <v>16</v>
      </c>
      <c r="C45" s="3">
        <v>6</v>
      </c>
      <c r="D45" s="87">
        <f t="shared" si="4"/>
        <v>0.9707328852712489</v>
      </c>
      <c r="E45" s="4"/>
      <c r="F45" s="84">
        <f t="shared" si="5"/>
        <v>0.71554175279993271</v>
      </c>
      <c r="G45" s="84">
        <f t="shared" si="14"/>
        <v>0.73606752000123676</v>
      </c>
      <c r="H45" s="84">
        <f t="shared" si="15"/>
        <v>0.69459991022752543</v>
      </c>
      <c r="I45" s="4"/>
      <c r="J45" s="98">
        <v>1</v>
      </c>
      <c r="K45" s="94">
        <f t="shared" si="6"/>
        <v>0.05</v>
      </c>
      <c r="L45" s="47">
        <f t="shared" si="16"/>
        <v>0.73606752000123676</v>
      </c>
      <c r="M45" s="47">
        <f t="shared" si="17"/>
        <v>0.7145249474452533</v>
      </c>
      <c r="N45" s="4"/>
      <c r="O45" s="98">
        <v>1</v>
      </c>
      <c r="P45" s="94">
        <f t="shared" si="7"/>
        <v>0.05</v>
      </c>
      <c r="Q45" s="47">
        <f t="shared" si="18"/>
        <v>0.73606752000123676</v>
      </c>
      <c r="R45" s="47">
        <f t="shared" si="19"/>
        <v>0.7145249474452533</v>
      </c>
      <c r="S45" s="51"/>
      <c r="T45" s="130">
        <v>5.1890782453176132E-2</v>
      </c>
      <c r="U45" s="135">
        <f t="shared" si="20"/>
        <v>5.1890782453176132E-2</v>
      </c>
      <c r="W45" s="63">
        <f t="shared" si="8"/>
        <v>0</v>
      </c>
      <c r="X45" s="63">
        <f t="shared" si="9"/>
        <v>196101.45018535687</v>
      </c>
      <c r="Y45" s="63">
        <f t="shared" si="21"/>
        <v>-48299.068313995464</v>
      </c>
      <c r="Z45" s="63">
        <v>0</v>
      </c>
      <c r="AA45" s="63">
        <f t="shared" ca="1" si="10"/>
        <v>258624.6667364304</v>
      </c>
      <c r="AB45" s="64">
        <f t="shared" ca="1" si="0"/>
        <v>406427.04860779177</v>
      </c>
      <c r="AC45" s="51"/>
      <c r="AD45" s="51">
        <f t="shared" si="1"/>
        <v>0</v>
      </c>
      <c r="AE45" s="64">
        <f t="shared" si="11"/>
        <v>190362.12654430757</v>
      </c>
      <c r="AF45" s="64">
        <f t="shared" si="12"/>
        <v>-46885.49394035797</v>
      </c>
      <c r="AG45" s="51">
        <f t="shared" si="2"/>
        <v>0</v>
      </c>
      <c r="AH45" s="64">
        <f t="shared" ca="1" si="13"/>
        <v>251055.46894337027</v>
      </c>
      <c r="AI45" s="64">
        <f t="shared" ca="1" si="3"/>
        <v>394532.10154731991</v>
      </c>
      <c r="AJ45" s="57"/>
      <c r="AK45" s="51">
        <f ca="1">SUM(AD45:AD$59,AG45:AG$59)/D45+SUM(AE46:AF$60,AH46:AH$59)/D45</f>
        <v>2644244.4105185047</v>
      </c>
      <c r="AL45" s="51">
        <f>SUM(AE46:$AF$60)*$F$14/D45</f>
        <v>69062.545780704357</v>
      </c>
      <c r="AM45" s="19"/>
      <c r="AN45" s="51">
        <f ca="1">-SUM(AD45:$AD$60,AH45:$AH$60)/D45</f>
        <v>-1521618.1616408485</v>
      </c>
      <c r="AO45" s="51">
        <f ca="1">-SUM(W45:$W$60,AA45:$AA$60)</f>
        <v>-1549748.8302110184</v>
      </c>
      <c r="AP45" s="19"/>
      <c r="AQ45" s="19"/>
      <c r="AR45" s="19"/>
      <c r="AS45" s="19"/>
    </row>
    <row r="46" spans="1:63" outlineLevel="1" x14ac:dyDescent="0.55000000000000004">
      <c r="A46" s="9"/>
      <c r="B46" s="1" t="s">
        <v>17</v>
      </c>
      <c r="C46" s="3">
        <v>7</v>
      </c>
      <c r="D46" s="87">
        <f t="shared" si="4"/>
        <v>0.96593899612956868</v>
      </c>
      <c r="E46" s="4"/>
      <c r="F46" s="84">
        <f t="shared" si="5"/>
        <v>0.67671760860196106</v>
      </c>
      <c r="G46" s="84">
        <f t="shared" si="14"/>
        <v>0.69612968070094694</v>
      </c>
      <c r="H46" s="84">
        <f t="shared" si="15"/>
        <v>0.65366792751618064</v>
      </c>
      <c r="I46" s="4"/>
      <c r="J46" s="98">
        <v>1</v>
      </c>
      <c r="K46" s="94">
        <f t="shared" si="6"/>
        <v>0.05</v>
      </c>
      <c r="L46" s="47">
        <f t="shared" si="16"/>
        <v>0.69612968070094694</v>
      </c>
      <c r="M46" s="47">
        <f t="shared" si="17"/>
        <v>0.67241880495226991</v>
      </c>
      <c r="N46" s="4"/>
      <c r="O46" s="98">
        <v>1</v>
      </c>
      <c r="P46" s="94">
        <f t="shared" si="7"/>
        <v>0.05</v>
      </c>
      <c r="Q46" s="47">
        <f t="shared" si="18"/>
        <v>0.69612968070094694</v>
      </c>
      <c r="R46" s="47">
        <f t="shared" si="19"/>
        <v>0.67241880495226991</v>
      </c>
      <c r="S46" s="51"/>
      <c r="T46" s="130">
        <v>2.7830892374108518E-2</v>
      </c>
      <c r="U46" s="135">
        <f t="shared" si="20"/>
        <v>2.7830892374108518E-2</v>
      </c>
      <c r="W46" s="63">
        <f t="shared" si="8"/>
        <v>0</v>
      </c>
      <c r="X46" s="63">
        <f t="shared" si="9"/>
        <v>185923.22565222849</v>
      </c>
      <c r="Y46" s="63">
        <f t="shared" si="21"/>
        <v>-45678.43858063237</v>
      </c>
      <c r="Z46" s="63">
        <v>0</v>
      </c>
      <c r="AA46" s="63">
        <f t="shared" ca="1" si="10"/>
        <v>227121.24355813413</v>
      </c>
      <c r="AB46" s="64">
        <f t="shared" ca="1" si="0"/>
        <v>367366.03062973026</v>
      </c>
      <c r="AC46" s="51"/>
      <c r="AD46" s="51">
        <f t="shared" si="1"/>
        <v>0</v>
      </c>
      <c r="AE46" s="64">
        <f t="shared" si="11"/>
        <v>179590.49394368485</v>
      </c>
      <c r="AF46" s="64">
        <f t="shared" si="12"/>
        <v>-44122.585107342195</v>
      </c>
      <c r="AG46" s="51">
        <f t="shared" si="2"/>
        <v>0</v>
      </c>
      <c r="AH46" s="64">
        <f t="shared" ca="1" si="13"/>
        <v>219385.26600224336</v>
      </c>
      <c r="AI46" s="64">
        <f t="shared" ca="1" si="3"/>
        <v>354853.17483858601</v>
      </c>
      <c r="AJ46" s="57"/>
      <c r="AK46" s="51">
        <f ca="1">SUM(AD46:AD$59,AG46:AG$59)/D46+SUM(AE47:AF$60,AH47:AH$59)/D46</f>
        <v>2290001.5839610049</v>
      </c>
      <c r="AL46" s="51">
        <f>SUM(AE47:$AF$60)*$F$14/D46</f>
        <v>62393.05911610544</v>
      </c>
      <c r="AM46" s="19"/>
      <c r="AN46" s="51">
        <f ca="1">-SUM(AD46:$AD$60,AH46:$AH$60)/D46</f>
        <v>-1269261.6451970302</v>
      </c>
      <c r="AO46" s="51">
        <f ca="1">-SUM(W46:$W$60,AA46:$AA$60)</f>
        <v>-1291124.1634745882</v>
      </c>
      <c r="AP46" s="19"/>
      <c r="AQ46" s="19"/>
      <c r="AR46" s="19"/>
      <c r="AS46" s="19"/>
    </row>
    <row r="47" spans="1:63" outlineLevel="1" x14ac:dyDescent="0.55000000000000004">
      <c r="A47" s="9"/>
      <c r="B47" s="1" t="s">
        <v>18</v>
      </c>
      <c r="C47" s="3">
        <v>8</v>
      </c>
      <c r="D47" s="87">
        <f t="shared" si="4"/>
        <v>0.96116878123798488</v>
      </c>
      <c r="E47" s="4"/>
      <c r="F47" s="84">
        <f t="shared" si="5"/>
        <v>0.64000000000000012</v>
      </c>
      <c r="G47" s="84">
        <f t="shared" si="14"/>
        <v>0.65835880430098059</v>
      </c>
      <c r="H47" s="84">
        <f t="shared" si="15"/>
        <v>0.61514801999231039</v>
      </c>
      <c r="I47" s="4"/>
      <c r="J47" s="98">
        <v>1</v>
      </c>
      <c r="K47" s="94">
        <f t="shared" si="6"/>
        <v>0.05</v>
      </c>
      <c r="L47" s="47">
        <f t="shared" si="16"/>
        <v>0.65835880430098059</v>
      </c>
      <c r="M47" s="47">
        <f t="shared" si="17"/>
        <v>0.63279392954727054</v>
      </c>
      <c r="N47" s="4"/>
      <c r="O47" s="98">
        <v>1</v>
      </c>
      <c r="P47" s="94">
        <f t="shared" si="7"/>
        <v>0.05</v>
      </c>
      <c r="Q47" s="47">
        <f t="shared" si="18"/>
        <v>0.65835880430098059</v>
      </c>
      <c r="R47" s="47">
        <f t="shared" si="19"/>
        <v>0.63279392954727054</v>
      </c>
      <c r="S47" s="51"/>
      <c r="T47" s="130">
        <v>1.5225286106495761E-2</v>
      </c>
      <c r="U47" s="135">
        <f t="shared" si="20"/>
        <v>1.5225286106495761E-2</v>
      </c>
      <c r="W47" s="63">
        <f t="shared" si="8"/>
        <v>0</v>
      </c>
      <c r="X47" s="63">
        <f t="shared" si="9"/>
        <v>176273.28000000003</v>
      </c>
      <c r="Y47" s="63">
        <f t="shared" si="21"/>
        <v>-43200.000000000007</v>
      </c>
      <c r="Z47" s="63">
        <v>0</v>
      </c>
      <c r="AA47" s="63">
        <f t="shared" ca="1" si="10"/>
        <v>198275.08645058903</v>
      </c>
      <c r="AB47" s="64">
        <f t="shared" ca="1" si="0"/>
        <v>331348.36645058903</v>
      </c>
      <c r="AC47" s="51"/>
      <c r="AD47" s="51">
        <f t="shared" si="1"/>
        <v>0</v>
      </c>
      <c r="AE47" s="64">
        <f t="shared" si="11"/>
        <v>169428.37370242208</v>
      </c>
      <c r="AF47" s="64">
        <f t="shared" si="12"/>
        <v>-41522.491349480952</v>
      </c>
      <c r="AG47" s="51">
        <f t="shared" si="2"/>
        <v>0</v>
      </c>
      <c r="AH47" s="64">
        <f t="shared" ca="1" si="13"/>
        <v>190575.82319356877</v>
      </c>
      <c r="AI47" s="64">
        <f t="shared" ca="1" si="3"/>
        <v>318481.70554650988</v>
      </c>
      <c r="AJ47" s="57"/>
      <c r="AK47" s="51">
        <f ca="1">SUM(AD47:AD$59,AG47:AG$59)/D47+SUM(AE48:AF$60,AH48:AH$59)/D47</f>
        <v>1970018.3386741423</v>
      </c>
      <c r="AL47" s="51">
        <f>SUM(AE48:$AF$60)*$F$14/D47</f>
        <v>56049.047599141515</v>
      </c>
      <c r="AM47" s="19"/>
      <c r="AN47" s="51">
        <f ca="1">-SUM(AD47:$AD$60,AH47:$AH$60)/D47</f>
        <v>-1047312.4731419012</v>
      </c>
      <c r="AO47" s="51">
        <f ca="1">-SUM(W47:$W$60,AA47:$AA$60)</f>
        <v>-1064002.919916454</v>
      </c>
      <c r="AP47" s="19"/>
      <c r="AQ47" s="19"/>
      <c r="AR47" s="19"/>
      <c r="AS47" s="19"/>
    </row>
    <row r="48" spans="1:63" outlineLevel="1" x14ac:dyDescent="0.55000000000000004">
      <c r="A48" s="9"/>
      <c r="B48" s="1" t="s">
        <v>19</v>
      </c>
      <c r="C48" s="3">
        <v>9</v>
      </c>
      <c r="D48" s="87">
        <f t="shared" si="4"/>
        <v>0.95642212368304769</v>
      </c>
      <c r="E48" s="4"/>
      <c r="F48" s="84">
        <f t="shared" si="5"/>
        <v>0.60527462976203261</v>
      </c>
      <c r="G48" s="84">
        <f t="shared" si="14"/>
        <v>0.62263731488101637</v>
      </c>
      <c r="H48" s="84">
        <f t="shared" si="15"/>
        <v>0.57889804680847368</v>
      </c>
      <c r="I48" s="4"/>
      <c r="J48" s="98">
        <v>1</v>
      </c>
      <c r="K48" s="94">
        <f t="shared" si="6"/>
        <v>0.05</v>
      </c>
      <c r="L48" s="47">
        <f t="shared" si="16"/>
        <v>0.62263731488101637</v>
      </c>
      <c r="M48" s="47">
        <f t="shared" si="17"/>
        <v>0.5955041029828122</v>
      </c>
      <c r="N48" s="4"/>
      <c r="O48" s="98">
        <v>1</v>
      </c>
      <c r="P48" s="94">
        <f t="shared" si="7"/>
        <v>0.05</v>
      </c>
      <c r="Q48" s="47">
        <f t="shared" si="18"/>
        <v>0.62263731488101637</v>
      </c>
      <c r="R48" s="47">
        <f t="shared" si="19"/>
        <v>0.5955041029828122</v>
      </c>
      <c r="S48" s="51"/>
      <c r="T48" s="130">
        <v>1.3868361840445591E-2</v>
      </c>
      <c r="U48" s="135">
        <f t="shared" si="20"/>
        <v>1.3868361840445591E-2</v>
      </c>
      <c r="W48" s="63">
        <f t="shared" si="8"/>
        <v>0</v>
      </c>
      <c r="X48" s="63">
        <f t="shared" si="9"/>
        <v>167124.19404813601</v>
      </c>
      <c r="Y48" s="63">
        <f t="shared" si="21"/>
        <v>-40856.037508937203</v>
      </c>
      <c r="Z48" s="63">
        <v>0</v>
      </c>
      <c r="AA48" s="63">
        <f t="shared" ca="1" si="10"/>
        <v>171890.58267793918</v>
      </c>
      <c r="AB48" s="64">
        <f t="shared" ca="1" si="0"/>
        <v>298158.73921713798</v>
      </c>
      <c r="AC48" s="51"/>
      <c r="AD48" s="51">
        <f t="shared" si="1"/>
        <v>0</v>
      </c>
      <c r="AE48" s="64">
        <f t="shared" si="11"/>
        <v>159841.276590336</v>
      </c>
      <c r="AF48" s="64">
        <f t="shared" si="12"/>
        <v>-39075.618159571975</v>
      </c>
      <c r="AG48" s="51">
        <f t="shared" si="2"/>
        <v>0</v>
      </c>
      <c r="AH48" s="64">
        <f t="shared" ca="1" si="13"/>
        <v>164399.95612595108</v>
      </c>
      <c r="AI48" s="64">
        <f t="shared" ca="1" si="3"/>
        <v>285165.61455671513</v>
      </c>
      <c r="AJ48" s="57"/>
      <c r="AK48" s="51">
        <f ca="1">SUM(AD48:AD$59,AG48:AG$59)/D48+SUM(AE49:AF$60,AH49:AH$59)/D48</f>
        <v>1681636.6656698007</v>
      </c>
      <c r="AL48" s="51">
        <f>SUM(AE49:$AF$60)*$F$14/D48</f>
        <v>50013.807360159357</v>
      </c>
      <c r="AM48" s="19"/>
      <c r="AN48" s="51">
        <f ca="1">-SUM(AD48:$AD$60,AH48:$AH$60)/D48</f>
        <v>-853251.10114455281</v>
      </c>
      <c r="AO48" s="51">
        <f ca="1">-SUM(W48:$W$60,AA48:$AA$60)</f>
        <v>-865727.833465865</v>
      </c>
      <c r="AP48" s="19"/>
      <c r="AQ48" s="19"/>
      <c r="AR48" s="19"/>
      <c r="AS48" s="19"/>
    </row>
    <row r="49" spans="1:45" outlineLevel="1" x14ac:dyDescent="0.55000000000000004">
      <c r="A49" s="9"/>
      <c r="B49" s="1" t="s">
        <v>20</v>
      </c>
      <c r="C49" s="3">
        <v>10</v>
      </c>
      <c r="D49" s="87">
        <f t="shared" si="4"/>
        <v>0.95169890712867522</v>
      </c>
      <c r="E49" s="4"/>
      <c r="F49" s="84">
        <f t="shared" si="5"/>
        <v>0.57243340223994621</v>
      </c>
      <c r="G49" s="84">
        <f t="shared" si="14"/>
        <v>0.58885401600098941</v>
      </c>
      <c r="H49" s="84">
        <f t="shared" si="15"/>
        <v>0.54478424331570618</v>
      </c>
      <c r="I49" s="4"/>
      <c r="J49" s="98">
        <v>1</v>
      </c>
      <c r="K49" s="94">
        <f t="shared" si="6"/>
        <v>0.05</v>
      </c>
      <c r="L49" s="47">
        <f t="shared" si="16"/>
        <v>0.58885401600098941</v>
      </c>
      <c r="M49" s="47">
        <f t="shared" si="17"/>
        <v>0.56041172348647306</v>
      </c>
      <c r="N49" s="4"/>
      <c r="O49" s="98">
        <v>1</v>
      </c>
      <c r="P49" s="94">
        <f t="shared" si="7"/>
        <v>0.05</v>
      </c>
      <c r="Q49" s="47">
        <f t="shared" si="18"/>
        <v>0.58885401600098941</v>
      </c>
      <c r="R49" s="47">
        <f t="shared" si="19"/>
        <v>0.56041172348647306</v>
      </c>
      <c r="S49" s="51"/>
      <c r="T49" s="130">
        <v>5.0809898881113407E-3</v>
      </c>
      <c r="U49" s="135">
        <f t="shared" si="20"/>
        <v>5.0809898881113407E-3</v>
      </c>
      <c r="W49" s="63">
        <f t="shared" si="8"/>
        <v>0</v>
      </c>
      <c r="X49" s="63">
        <f t="shared" si="9"/>
        <v>158449.97174976836</v>
      </c>
      <c r="Y49" s="63">
        <f t="shared" si="21"/>
        <v>-38639.254651196374</v>
      </c>
      <c r="Z49" s="63">
        <v>0</v>
      </c>
      <c r="AA49" s="63">
        <f t="shared" ca="1" si="10"/>
        <v>147785.52384938882</v>
      </c>
      <c r="AB49" s="64">
        <f t="shared" ca="1" si="0"/>
        <v>267596.24094796082</v>
      </c>
      <c r="AC49" s="51"/>
      <c r="AD49" s="51">
        <f t="shared" si="1"/>
        <v>0</v>
      </c>
      <c r="AE49" s="64">
        <f t="shared" si="11"/>
        <v>150796.66494882401</v>
      </c>
      <c r="AF49" s="64">
        <f t="shared" si="12"/>
        <v>-36772.93642381017</v>
      </c>
      <c r="AG49" s="51">
        <f t="shared" si="2"/>
        <v>0</v>
      </c>
      <c r="AH49" s="64">
        <f t="shared" ca="1" si="13"/>
        <v>140647.32153690211</v>
      </c>
      <c r="AI49" s="64">
        <f t="shared" ca="1" si="3"/>
        <v>254671.05006191594</v>
      </c>
      <c r="AJ49" s="57"/>
      <c r="AK49" s="51">
        <f ca="1">SUM(AD49:AD$59,AG49:AG$59)/D49+SUM(AE50:AF$60,AH50:AH$59)/D49</f>
        <v>1422386.2724245496</v>
      </c>
      <c r="AL49" s="51">
        <f>SUM(AE50:$AF$60)*$F$14/D49</f>
        <v>44271.486608874628</v>
      </c>
      <c r="AM49" s="19"/>
      <c r="AN49" s="51">
        <f ca="1">-SUM(AD49:$AD$60,AH49:$AH$60)/D49</f>
        <v>-684742.06409644615</v>
      </c>
      <c r="AO49" s="51">
        <f ca="1">-SUM(W49:$W$60,AA49:$AA$60)</f>
        <v>-693837.25078792579</v>
      </c>
      <c r="AP49" s="19"/>
      <c r="AQ49" s="19"/>
      <c r="AR49" s="19"/>
      <c r="AS49" s="19"/>
    </row>
    <row r="50" spans="1:45" outlineLevel="1" x14ac:dyDescent="0.55000000000000004">
      <c r="A50" s="9"/>
      <c r="B50" s="1" t="s">
        <v>21</v>
      </c>
      <c r="C50" s="3">
        <v>11</v>
      </c>
      <c r="D50" s="87">
        <f t="shared" si="4"/>
        <v>0.94699901581330248</v>
      </c>
      <c r="E50" s="4"/>
      <c r="F50" s="84">
        <f t="shared" si="5"/>
        <v>0.54137408688156885</v>
      </c>
      <c r="G50" s="84">
        <f t="shared" si="14"/>
        <v>0.55690374456075753</v>
      </c>
      <c r="H50" s="84">
        <f t="shared" si="15"/>
        <v>0.51268072746367099</v>
      </c>
      <c r="I50" s="4"/>
      <c r="J50" s="98">
        <v>1</v>
      </c>
      <c r="K50" s="94">
        <f t="shared" si="6"/>
        <v>0.05</v>
      </c>
      <c r="L50" s="47">
        <f t="shared" si="16"/>
        <v>0.55690374456075753</v>
      </c>
      <c r="M50" s="47">
        <f t="shared" si="17"/>
        <v>0.52738729800178019</v>
      </c>
      <c r="N50" s="4"/>
      <c r="O50" s="98">
        <v>1</v>
      </c>
      <c r="P50" s="94">
        <f t="shared" si="7"/>
        <v>0.05</v>
      </c>
      <c r="Q50" s="47">
        <f t="shared" si="18"/>
        <v>0.55690374456075753</v>
      </c>
      <c r="R50" s="47">
        <f t="shared" si="19"/>
        <v>0.52738729800178019</v>
      </c>
      <c r="S50" s="51"/>
      <c r="T50" s="130">
        <v>6.0769058883075608E-3</v>
      </c>
      <c r="U50" s="135">
        <f t="shared" si="20"/>
        <v>6.0769058883075608E-3</v>
      </c>
      <c r="W50" s="63">
        <f t="shared" si="8"/>
        <v>0</v>
      </c>
      <c r="X50" s="63">
        <f t="shared" si="9"/>
        <v>150225.96632700058</v>
      </c>
      <c r="Y50" s="63">
        <f t="shared" si="21"/>
        <v>-36542.750864505899</v>
      </c>
      <c r="Z50" s="63">
        <v>0</v>
      </c>
      <c r="AA50" s="63">
        <f t="shared" ca="1" si="10"/>
        <v>125790.22720142831</v>
      </c>
      <c r="AB50" s="64">
        <f t="shared" ca="1" si="0"/>
        <v>239473.44266392299</v>
      </c>
      <c r="AC50" s="51"/>
      <c r="AD50" s="51">
        <f t="shared" si="1"/>
        <v>0</v>
      </c>
      <c r="AE50" s="64">
        <f t="shared" si="11"/>
        <v>142263.84226127187</v>
      </c>
      <c r="AF50" s="64">
        <f t="shared" si="12"/>
        <v>-34605.949103797793</v>
      </c>
      <c r="AG50" s="51">
        <f t="shared" si="2"/>
        <v>0</v>
      </c>
      <c r="AH50" s="64">
        <f t="shared" ca="1" si="13"/>
        <v>119123.22135868431</v>
      </c>
      <c r="AI50" s="64">
        <f t="shared" ca="1" si="3"/>
        <v>226781.11451615841</v>
      </c>
      <c r="AJ50" s="57"/>
      <c r="AK50" s="51">
        <f ca="1">SUM(AD50:AD$59,AG50:AG$59)/D50+SUM(AE51:AF$60,AH51:AH$59)/D50</f>
        <v>1189972.0355013341</v>
      </c>
      <c r="AL50" s="51">
        <f>SUM(AE51:$AF$60)*$F$14/D50</f>
        <v>38807.042194433743</v>
      </c>
      <c r="AM50" s="19"/>
      <c r="AN50" s="51">
        <f ca="1">-SUM(AD50:$AD$60,AH50:$AH$60)/D50</f>
        <v>-539621.41881408764</v>
      </c>
      <c r="AO50" s="51">
        <f ca="1">-SUM(W50:$W$60,AA50:$AA$60)</f>
        <v>-546051.72693853697</v>
      </c>
      <c r="AP50" s="19"/>
      <c r="AQ50" s="19"/>
      <c r="AR50" s="19"/>
      <c r="AS50" s="19"/>
    </row>
    <row r="51" spans="1:45" outlineLevel="1" x14ac:dyDescent="0.55000000000000004">
      <c r="A51" s="9"/>
      <c r="B51" s="1" t="s">
        <v>22</v>
      </c>
      <c r="C51" s="3">
        <v>12</v>
      </c>
      <c r="D51" s="87">
        <f t="shared" si="4"/>
        <v>0.94232233454704384</v>
      </c>
      <c r="E51" s="4"/>
      <c r="F51" s="84">
        <f t="shared" si="5"/>
        <v>0.51200000000000012</v>
      </c>
      <c r="G51" s="84">
        <f t="shared" si="14"/>
        <v>0.52668704344078443</v>
      </c>
      <c r="H51" s="84">
        <f t="shared" si="15"/>
        <v>0.48246903528808655</v>
      </c>
      <c r="I51" s="4"/>
      <c r="J51" s="98">
        <v>1</v>
      </c>
      <c r="K51" s="94">
        <f t="shared" si="6"/>
        <v>0.05</v>
      </c>
      <c r="L51" s="47">
        <f t="shared" si="16"/>
        <v>0.52668704344078443</v>
      </c>
      <c r="M51" s="47">
        <f t="shared" si="17"/>
        <v>0.4963089643508003</v>
      </c>
      <c r="N51" s="4"/>
      <c r="O51" s="98">
        <v>1</v>
      </c>
      <c r="P51" s="94">
        <f t="shared" si="7"/>
        <v>0.05</v>
      </c>
      <c r="Q51" s="47">
        <f t="shared" si="18"/>
        <v>0.52668704344078443</v>
      </c>
      <c r="R51" s="47">
        <f t="shared" si="19"/>
        <v>0.4963089643508003</v>
      </c>
      <c r="S51" s="51"/>
      <c r="T51" s="130">
        <v>6.7969588236102014E-3</v>
      </c>
      <c r="U51" s="135">
        <f t="shared" si="20"/>
        <v>6.7969588236102014E-3</v>
      </c>
      <c r="W51" s="63">
        <f t="shared" si="8"/>
        <v>0</v>
      </c>
      <c r="X51" s="63">
        <f t="shared" si="9"/>
        <v>142428.81024000002</v>
      </c>
      <c r="Y51" s="63">
        <f t="shared" si="21"/>
        <v>-34560.000000000015</v>
      </c>
      <c r="Z51" s="63">
        <v>0</v>
      </c>
      <c r="AA51" s="63">
        <f t="shared" ca="1" si="10"/>
        <v>105746.71277364742</v>
      </c>
      <c r="AB51" s="64">
        <f t="shared" ca="1" si="0"/>
        <v>213615.52301364741</v>
      </c>
      <c r="AC51" s="51"/>
      <c r="AD51" s="51">
        <f t="shared" si="1"/>
        <v>0</v>
      </c>
      <c r="AE51" s="64">
        <f t="shared" si="11"/>
        <v>134213.84897211473</v>
      </c>
      <c r="AF51" s="64">
        <f t="shared" si="12"/>
        <v>-32566.659881945849</v>
      </c>
      <c r="AG51" s="51">
        <f t="shared" si="2"/>
        <v>0</v>
      </c>
      <c r="AH51" s="64">
        <f t="shared" ca="1" si="13"/>
        <v>99647.48925153914</v>
      </c>
      <c r="AI51" s="64">
        <f t="shared" ca="1" si="3"/>
        <v>201294.67834170803</v>
      </c>
      <c r="AJ51" s="57"/>
      <c r="AK51" s="51">
        <f ca="1">SUM(AD51:AD$59,AG51:AG$59)/D51+SUM(AE52:AF$60,AH52:AH$59)/D51</f>
        <v>982262.26227390603</v>
      </c>
      <c r="AL51" s="51">
        <f>SUM(AE52:$AF$60)*$F$14/D51</f>
        <v>33606.198377403147</v>
      </c>
      <c r="AM51" s="19"/>
      <c r="AN51" s="51">
        <f ca="1">-SUM(AD51:$AD$60,AH51:$AH$60)/D51</f>
        <v>-415885.00749949034</v>
      </c>
      <c r="AO51" s="51">
        <f ca="1">-SUM(W51:$W$60,AA51:$AA$60)</f>
        <v>-420261.49973710871</v>
      </c>
      <c r="AP51" s="19"/>
      <c r="AQ51" s="19"/>
      <c r="AR51" s="19"/>
      <c r="AS51" s="19"/>
    </row>
    <row r="52" spans="1:45" outlineLevel="1" x14ac:dyDescent="0.55000000000000004">
      <c r="A52" s="9"/>
      <c r="B52" s="1" t="s">
        <v>23</v>
      </c>
      <c r="C52" s="3">
        <v>13</v>
      </c>
      <c r="D52" s="87">
        <f t="shared" si="4"/>
        <v>0.93766874870887007</v>
      </c>
      <c r="E52" s="4"/>
      <c r="F52" s="84">
        <f t="shared" ref="F52:F59" si="22">(1-$F$19)^(C52/4)</f>
        <v>0.48421970380962609</v>
      </c>
      <c r="G52" s="84">
        <f t="shared" ref="G52:G59" si="23">AVERAGE(F51:F52)</f>
        <v>0.49810985190481311</v>
      </c>
      <c r="H52" s="84">
        <f t="shared" ref="H52:H59" si="24">F52*D52</f>
        <v>0.45403768377135179</v>
      </c>
      <c r="I52" s="4"/>
      <c r="J52" s="98">
        <v>1</v>
      </c>
      <c r="K52" s="94">
        <f t="shared" ref="K52:K59" si="25">J52/$J$62</f>
        <v>0.05</v>
      </c>
      <c r="L52" s="47">
        <f t="shared" ref="L52:L59" si="26">J52*G52</f>
        <v>0.49810985190481311</v>
      </c>
      <c r="M52" s="47">
        <f t="shared" ref="M52:M59" si="27">L52*D52</f>
        <v>0.46706204155514669</v>
      </c>
      <c r="N52" s="4"/>
      <c r="O52" s="98">
        <v>1</v>
      </c>
      <c r="P52" s="94">
        <f t="shared" ref="P52:P59" si="28">O52/$O$62</f>
        <v>0.05</v>
      </c>
      <c r="Q52" s="47">
        <f t="shared" ref="Q52:Q59" si="29">O52*G52</f>
        <v>0.49810985190481311</v>
      </c>
      <c r="R52" s="47">
        <f t="shared" ref="R52:R59" si="30">Q52*D52</f>
        <v>0.46706204155514669</v>
      </c>
      <c r="S52" s="51"/>
      <c r="T52" s="130">
        <v>0</v>
      </c>
      <c r="U52" s="135">
        <f t="shared" si="20"/>
        <v>0</v>
      </c>
      <c r="W52" s="63">
        <f t="shared" si="8"/>
        <v>0</v>
      </c>
      <c r="X52" s="63">
        <f t="shared" si="9"/>
        <v>135036.34879089388</v>
      </c>
      <c r="Y52" s="63">
        <f t="shared" si="21"/>
        <v>-32684.830007149762</v>
      </c>
      <c r="Z52" s="63">
        <v>0</v>
      </c>
      <c r="AA52" s="63">
        <f t="shared" ca="1" si="10"/>
        <v>87507.932999678203</v>
      </c>
      <c r="AB52" s="64">
        <f t="shared" ca="1" si="0"/>
        <v>189859.45178342232</v>
      </c>
      <c r="AC52" s="51"/>
      <c r="AD52" s="51">
        <f t="shared" si="1"/>
        <v>0</v>
      </c>
      <c r="AE52" s="64">
        <f t="shared" si="11"/>
        <v>126619.36420097201</v>
      </c>
      <c r="AF52" s="64">
        <f t="shared" si="12"/>
        <v>-30647.543654566245</v>
      </c>
      <c r="AG52" s="51">
        <f t="shared" si="2"/>
        <v>0</v>
      </c>
      <c r="AH52" s="64">
        <f t="shared" ca="1" si="13"/>
        <v>82053.454037907897</v>
      </c>
      <c r="AI52" s="64">
        <f t="shared" ca="1" si="3"/>
        <v>178025.27458431368</v>
      </c>
      <c r="AJ52" s="57"/>
      <c r="AK52" s="51">
        <f ca="1">SUM(AD52:AD$59,AG52:AG$59)/D52+SUM(AE53:AF$60,AH53:AH$59)/D52</f>
        <v>797277.71088508936</v>
      </c>
      <c r="AL52" s="51">
        <f>SUM(AE53:$AF$60)*$F$14/D52</f>
        <v>28655.407701198503</v>
      </c>
      <c r="AM52" s="19"/>
      <c r="AN52" s="51">
        <f ca="1">-SUM(AD52:$AD$60,AH52:$AH$60)/D52</f>
        <v>-311677.48986079736</v>
      </c>
      <c r="AO52" s="51">
        <f ca="1">-SUM(W52:$W$60,AA52:$AA$60)</f>
        <v>-314514.78696346132</v>
      </c>
      <c r="AP52" s="19"/>
      <c r="AQ52" s="19"/>
      <c r="AR52" s="19"/>
      <c r="AS52" s="19"/>
    </row>
    <row r="53" spans="1:45" outlineLevel="1" x14ac:dyDescent="0.55000000000000004">
      <c r="A53" s="9"/>
      <c r="B53" s="1" t="s">
        <v>24</v>
      </c>
      <c r="C53" s="3">
        <v>14</v>
      </c>
      <c r="D53" s="87">
        <f t="shared" si="4"/>
        <v>0.93303814424379905</v>
      </c>
      <c r="E53" s="4"/>
      <c r="F53" s="84">
        <f t="shared" si="22"/>
        <v>0.457946721791957</v>
      </c>
      <c r="G53" s="84">
        <f t="shared" si="23"/>
        <v>0.47108321280079157</v>
      </c>
      <c r="H53" s="84">
        <f t="shared" si="24"/>
        <v>0.42728175946329888</v>
      </c>
      <c r="I53" s="4"/>
      <c r="J53" s="98">
        <v>1</v>
      </c>
      <c r="K53" s="94">
        <f t="shared" si="25"/>
        <v>0.05</v>
      </c>
      <c r="L53" s="47">
        <f t="shared" si="26"/>
        <v>0.47108321280079157</v>
      </c>
      <c r="M53" s="47">
        <f t="shared" si="27"/>
        <v>0.43953860665605726</v>
      </c>
      <c r="N53" s="4"/>
      <c r="O53" s="98">
        <v>1</v>
      </c>
      <c r="P53" s="94">
        <f t="shared" si="28"/>
        <v>0.05</v>
      </c>
      <c r="Q53" s="47">
        <f t="shared" si="29"/>
        <v>0.47108321280079157</v>
      </c>
      <c r="R53" s="47">
        <f t="shared" si="30"/>
        <v>0.43953860665605726</v>
      </c>
      <c r="S53" s="51"/>
      <c r="T53" s="130">
        <v>0</v>
      </c>
      <c r="U53" s="135">
        <f t="shared" si="20"/>
        <v>0</v>
      </c>
      <c r="W53" s="63">
        <f t="shared" si="8"/>
        <v>0</v>
      </c>
      <c r="X53" s="63">
        <f t="shared" si="9"/>
        <v>128027.57717381284</v>
      </c>
      <c r="Y53" s="63">
        <f t="shared" si="21"/>
        <v>-30911.4037209571</v>
      </c>
      <c r="Z53" s="63">
        <v>0</v>
      </c>
      <c r="AA53" s="63">
        <f t="shared" ca="1" si="10"/>
        <v>70937.051447706544</v>
      </c>
      <c r="AB53" s="64">
        <f t="shared" ca="1" si="0"/>
        <v>168053.22490056229</v>
      </c>
      <c r="AC53" s="51"/>
      <c r="AD53" s="51">
        <f t="shared" si="1"/>
        <v>0</v>
      </c>
      <c r="AE53" s="64">
        <f t="shared" si="11"/>
        <v>119454.6130182841</v>
      </c>
      <c r="AF53" s="64">
        <f t="shared" si="12"/>
        <v>-28841.518763772678</v>
      </c>
      <c r="AG53" s="51">
        <f t="shared" si="2"/>
        <v>0</v>
      </c>
      <c r="AH53" s="64">
        <f t="shared" ca="1" si="13"/>
        <v>66186.974840895011</v>
      </c>
      <c r="AI53" s="64">
        <f t="shared" ca="1" si="3"/>
        <v>156800.06909540645</v>
      </c>
      <c r="AJ53" s="57"/>
      <c r="AK53" s="51">
        <f ca="1">SUM(AD53:AD$59,AG53:AG$59)/D53+SUM(AE54:AF$60,AH54:AH$59)/D53</f>
        <v>633181.32070849021</v>
      </c>
      <c r="AL53" s="51">
        <f>SUM(AE54:$AF$60)*$F$14/D53</f>
        <v>23941.813856179018</v>
      </c>
      <c r="AM53" s="19"/>
      <c r="AN53" s="51">
        <f ca="1">-SUM(AD53:$AD$60,AH53:$AH$60)/D53</f>
        <v>-225282.09503261631</v>
      </c>
      <c r="AO53" s="51">
        <f ca="1">-SUM(W53:$W$60,AA53:$AA$60)</f>
        <v>-227006.85396378313</v>
      </c>
      <c r="AP53" s="19"/>
      <c r="AQ53" s="19"/>
      <c r="AR53" s="19"/>
      <c r="AS53" s="19"/>
    </row>
    <row r="54" spans="1:45" outlineLevel="1" x14ac:dyDescent="0.55000000000000004">
      <c r="A54" s="9"/>
      <c r="B54" s="1" t="s">
        <v>25</v>
      </c>
      <c r="C54" s="3">
        <v>15</v>
      </c>
      <c r="D54" s="87">
        <f t="shared" si="4"/>
        <v>0.92843040766010021</v>
      </c>
      <c r="E54" s="4"/>
      <c r="F54" s="84">
        <f t="shared" si="22"/>
        <v>0.43309926950525512</v>
      </c>
      <c r="G54" s="84">
        <f t="shared" si="23"/>
        <v>0.44552299564860609</v>
      </c>
      <c r="H54" s="84">
        <f t="shared" si="24"/>
        <v>0.4021025313440556</v>
      </c>
      <c r="I54" s="4"/>
      <c r="J54" s="98">
        <v>1</v>
      </c>
      <c r="K54" s="94">
        <f t="shared" si="25"/>
        <v>0.05</v>
      </c>
      <c r="L54" s="47">
        <f t="shared" si="26"/>
        <v>0.44552299564860609</v>
      </c>
      <c r="M54" s="47">
        <f t="shared" si="27"/>
        <v>0.41363709647198438</v>
      </c>
      <c r="N54" s="4"/>
      <c r="O54" s="98">
        <v>1</v>
      </c>
      <c r="P54" s="94">
        <f t="shared" si="28"/>
        <v>0.05</v>
      </c>
      <c r="Q54" s="47">
        <f t="shared" si="29"/>
        <v>0.44552299564860609</v>
      </c>
      <c r="R54" s="47">
        <f t="shared" si="30"/>
        <v>0.41363709647198438</v>
      </c>
      <c r="S54" s="51"/>
      <c r="T54" s="130">
        <v>0</v>
      </c>
      <c r="U54" s="135">
        <f t="shared" si="20"/>
        <v>0</v>
      </c>
      <c r="W54" s="63">
        <f t="shared" si="8"/>
        <v>0</v>
      </c>
      <c r="X54" s="63">
        <f t="shared" si="9"/>
        <v>121382.5807922165</v>
      </c>
      <c r="Y54" s="63">
        <f t="shared" si="21"/>
        <v>-29234.200691604725</v>
      </c>
      <c r="Z54" s="63">
        <v>0</v>
      </c>
      <c r="AA54" s="63">
        <f t="shared" ca="1" si="10"/>
        <v>55906.767645079221</v>
      </c>
      <c r="AB54" s="64">
        <f t="shared" ca="1" si="0"/>
        <v>148055.14774569101</v>
      </c>
      <c r="AC54" s="51"/>
      <c r="AD54" s="51">
        <f t="shared" si="1"/>
        <v>0</v>
      </c>
      <c r="AE54" s="64">
        <f t="shared" si="11"/>
        <v>112695.27896775262</v>
      </c>
      <c r="AF54" s="64">
        <f t="shared" si="12"/>
        <v>-27141.920865723758</v>
      </c>
      <c r="AG54" s="51">
        <f t="shared" si="2"/>
        <v>0</v>
      </c>
      <c r="AH54" s="64">
        <f t="shared" ca="1" si="13"/>
        <v>51905.543075679401</v>
      </c>
      <c r="AI54" s="64">
        <f t="shared" ca="1" si="3"/>
        <v>137458.90117770826</v>
      </c>
      <c r="AJ54" s="57"/>
      <c r="AK54" s="51">
        <f ca="1">SUM(AD54:AD$59,AG54:AG$59)/D54+SUM(AE55:AF$60,AH55:AH$59)/D54</f>
        <v>488268.60853090626</v>
      </c>
      <c r="AL54" s="51">
        <f>SUM(AE55:$AF$60)*$F$14/D54</f>
        <v>19453.21643505503</v>
      </c>
      <c r="AM54" s="19"/>
      <c r="AN54" s="51">
        <f ca="1">-SUM(AD54:$AD$60,AH54:$AH$60)/D54</f>
        <v>-155111.04747488484</v>
      </c>
      <c r="AO54" s="51">
        <f ca="1">-SUM(W54:$W$60,AA54:$AA$60)</f>
        <v>-156069.8025160766</v>
      </c>
      <c r="AP54" s="19"/>
      <c r="AQ54" s="19"/>
      <c r="AR54" s="19"/>
      <c r="AS54" s="19"/>
    </row>
    <row r="55" spans="1:45" outlineLevel="1" x14ac:dyDescent="0.55000000000000004">
      <c r="A55" s="9"/>
      <c r="B55" s="1" t="s">
        <v>26</v>
      </c>
      <c r="C55" s="3">
        <v>16</v>
      </c>
      <c r="D55" s="87">
        <f t="shared" si="4"/>
        <v>0.92384542602651332</v>
      </c>
      <c r="E55" s="4"/>
      <c r="F55" s="84">
        <f t="shared" si="22"/>
        <v>0.40960000000000019</v>
      </c>
      <c r="G55" s="84">
        <f t="shared" si="23"/>
        <v>0.42134963475262766</v>
      </c>
      <c r="H55" s="84">
        <f t="shared" si="24"/>
        <v>0.37840708650046001</v>
      </c>
      <c r="I55" s="4"/>
      <c r="J55" s="98">
        <v>1</v>
      </c>
      <c r="K55" s="94">
        <f t="shared" si="25"/>
        <v>0.05</v>
      </c>
      <c r="L55" s="47">
        <f t="shared" si="26"/>
        <v>0.42134963475262766</v>
      </c>
      <c r="M55" s="47">
        <f t="shared" si="27"/>
        <v>0.38926193282415705</v>
      </c>
      <c r="N55" s="4"/>
      <c r="O55" s="98">
        <v>1</v>
      </c>
      <c r="P55" s="94">
        <f t="shared" si="28"/>
        <v>0.05</v>
      </c>
      <c r="Q55" s="47">
        <f t="shared" si="29"/>
        <v>0.42134963475262766</v>
      </c>
      <c r="R55" s="47">
        <f t="shared" si="30"/>
        <v>0.38926193282415705</v>
      </c>
      <c r="S55" s="51"/>
      <c r="T55" s="130">
        <v>0</v>
      </c>
      <c r="U55" s="135">
        <f t="shared" si="20"/>
        <v>0</v>
      </c>
      <c r="W55" s="63">
        <f t="shared" si="8"/>
        <v>0</v>
      </c>
      <c r="X55" s="63">
        <f t="shared" si="9"/>
        <v>115082.47867392006</v>
      </c>
      <c r="Y55" s="63">
        <f t="shared" si="21"/>
        <v>-27648.000000000015</v>
      </c>
      <c r="Z55" s="63">
        <v>0</v>
      </c>
      <c r="AA55" s="63">
        <f t="shared" ca="1" si="10"/>
        <v>42298.685109458893</v>
      </c>
      <c r="AB55" s="64">
        <f t="shared" ca="1" si="0"/>
        <v>129733.16378337894</v>
      </c>
      <c r="AC55" s="51"/>
      <c r="AD55" s="51">
        <f t="shared" si="1"/>
        <v>0</v>
      </c>
      <c r="AE55" s="64">
        <f t="shared" si="11"/>
        <v>106318.42153869482</v>
      </c>
      <c r="AF55" s="64">
        <f t="shared" si="12"/>
        <v>-25542.478338781053</v>
      </c>
      <c r="AG55" s="51">
        <f t="shared" si="2"/>
        <v>0</v>
      </c>
      <c r="AH55" s="64">
        <f t="shared" ca="1" si="13"/>
        <v>39077.446765309389</v>
      </c>
      <c r="AI55" s="64">
        <f t="shared" ca="1" si="3"/>
        <v>119853.38996522316</v>
      </c>
      <c r="AJ55" s="57"/>
      <c r="AK55" s="51">
        <f ca="1">SUM(AD55:AD$59,AG55:AG$59)/D55+SUM(AE56:AF$60,AH56:AH$59)/D55</f>
        <v>360958.68844100967</v>
      </c>
      <c r="AL55" s="51">
        <f>SUM(AE56:$AF$60)*$F$14/D55</f>
        <v>15178.037483404934</v>
      </c>
      <c r="AM55" s="19"/>
      <c r="AN55" s="51">
        <f ca="1">-SUM(AD55:$AD$60,AH55:$AH$60)/D55</f>
        <v>-99696.62388236991</v>
      </c>
      <c r="AO55" s="51">
        <f ca="1">-SUM(W55:$W$60,AA55:$AA$60)</f>
        <v>-100163.03487099736</v>
      </c>
      <c r="AP55" s="19"/>
      <c r="AQ55" s="19"/>
      <c r="AR55" s="19"/>
      <c r="AS55" s="19"/>
    </row>
    <row r="56" spans="1:45" outlineLevel="1" x14ac:dyDescent="0.55000000000000004">
      <c r="A56" s="9"/>
      <c r="B56" s="1" t="s">
        <v>27</v>
      </c>
      <c r="C56" s="3">
        <v>17</v>
      </c>
      <c r="D56" s="87">
        <f t="shared" si="4"/>
        <v>0.91928308696948025</v>
      </c>
      <c r="E56" s="4"/>
      <c r="F56" s="84">
        <f t="shared" si="22"/>
        <v>0.38737576304770088</v>
      </c>
      <c r="G56" s="84">
        <f t="shared" si="23"/>
        <v>0.39848788152385051</v>
      </c>
      <c r="H56" s="84">
        <f t="shared" si="24"/>
        <v>0.35610798727164839</v>
      </c>
      <c r="I56" s="4"/>
      <c r="J56" s="98">
        <v>1</v>
      </c>
      <c r="K56" s="94">
        <f t="shared" si="25"/>
        <v>0.05</v>
      </c>
      <c r="L56" s="47">
        <f t="shared" si="26"/>
        <v>0.39848788152385051</v>
      </c>
      <c r="M56" s="47">
        <f t="shared" si="27"/>
        <v>0.36632316984717378</v>
      </c>
      <c r="N56" s="4"/>
      <c r="O56" s="98">
        <v>1</v>
      </c>
      <c r="P56" s="94">
        <f t="shared" si="28"/>
        <v>0.05</v>
      </c>
      <c r="Q56" s="47">
        <f t="shared" si="29"/>
        <v>0.39848788152385051</v>
      </c>
      <c r="R56" s="47">
        <f t="shared" si="30"/>
        <v>0.36632316984717378</v>
      </c>
      <c r="S56" s="51"/>
      <c r="T56" s="130">
        <v>0</v>
      </c>
      <c r="U56" s="135">
        <f t="shared" si="20"/>
        <v>0</v>
      </c>
      <c r="W56" s="63">
        <f t="shared" si="8"/>
        <v>0</v>
      </c>
      <c r="X56" s="63">
        <f t="shared" si="9"/>
        <v>109109.36982304225</v>
      </c>
      <c r="Y56" s="63">
        <f t="shared" si="21"/>
        <v>-26147.864005719814</v>
      </c>
      <c r="Z56" s="63">
        <v>0</v>
      </c>
      <c r="AA56" s="63">
        <f t="shared" ca="1" si="10"/>
        <v>30002.71988560406</v>
      </c>
      <c r="AB56" s="64">
        <f t="shared" ca="1" si="0"/>
        <v>112964.2257029265</v>
      </c>
      <c r="AC56" s="51"/>
      <c r="AD56" s="51">
        <f t="shared" si="1"/>
        <v>0</v>
      </c>
      <c r="AE56" s="64">
        <f t="shared" si="11"/>
        <v>100302.39830822093</v>
      </c>
      <c r="AF56" s="64">
        <f t="shared" si="12"/>
        <v>-24037.28914083627</v>
      </c>
      <c r="AG56" s="51">
        <f t="shared" si="2"/>
        <v>0</v>
      </c>
      <c r="AH56" s="64">
        <f t="shared" ca="1" si="13"/>
        <v>27580.992953918711</v>
      </c>
      <c r="AI56" s="64">
        <f t="shared" ca="1" si="3"/>
        <v>103846.10212130337</v>
      </c>
      <c r="AJ56" s="57"/>
      <c r="AK56" s="51">
        <f ca="1">SUM(AD56:AD$59,AG56:AG$59)/D56+SUM(AE57:AF$60,AH57:AH$59)/D56</f>
        <v>249785.8760095693</v>
      </c>
      <c r="AL56" s="51">
        <f>SUM(AE57:$AF$60)*$F$14/D56</f>
        <v>11105.289753984474</v>
      </c>
      <c r="AM56" s="19"/>
      <c r="AN56" s="51">
        <f ca="1">-SUM(AD56:$AD$60,AH56:$AH$60)/D56</f>
        <v>-57682.800815483897</v>
      </c>
      <c r="AO56" s="51">
        <f ca="1">-SUM(W56:$W$60,AA56:$AA$60)</f>
        <v>-57864.349761538462</v>
      </c>
      <c r="AP56" s="19"/>
      <c r="AQ56" s="19"/>
      <c r="AR56" s="19"/>
      <c r="AS56" s="19"/>
    </row>
    <row r="57" spans="1:45" outlineLevel="1" x14ac:dyDescent="0.55000000000000004">
      <c r="A57" s="9"/>
      <c r="B57" s="1" t="s">
        <v>28</v>
      </c>
      <c r="C57" s="3">
        <v>18</v>
      </c>
      <c r="D57" s="87">
        <f t="shared" si="4"/>
        <v>0.91474327867039096</v>
      </c>
      <c r="E57" s="4"/>
      <c r="F57" s="84">
        <f t="shared" si="22"/>
        <v>0.36635737743356561</v>
      </c>
      <c r="G57" s="84">
        <f t="shared" si="23"/>
        <v>0.37686657024063325</v>
      </c>
      <c r="H57" s="84">
        <f t="shared" si="24"/>
        <v>0.3351229485986657</v>
      </c>
      <c r="I57" s="4"/>
      <c r="J57" s="98">
        <v>1</v>
      </c>
      <c r="K57" s="94">
        <f t="shared" si="25"/>
        <v>0.05</v>
      </c>
      <c r="L57" s="47">
        <f t="shared" si="26"/>
        <v>0.37686657024063325</v>
      </c>
      <c r="M57" s="47">
        <f t="shared" si="27"/>
        <v>0.34473616208318203</v>
      </c>
      <c r="N57" s="4"/>
      <c r="O57" s="98">
        <v>1</v>
      </c>
      <c r="P57" s="94">
        <f t="shared" si="28"/>
        <v>0.05</v>
      </c>
      <c r="Q57" s="47">
        <f t="shared" si="29"/>
        <v>0.37686657024063325</v>
      </c>
      <c r="R57" s="47">
        <f t="shared" si="30"/>
        <v>0.34473616208318203</v>
      </c>
      <c r="S57" s="51"/>
      <c r="T57" s="130">
        <v>0</v>
      </c>
      <c r="U57" s="135">
        <f t="shared" si="20"/>
        <v>0</v>
      </c>
      <c r="W57" s="63">
        <f t="shared" si="8"/>
        <v>0</v>
      </c>
      <c r="X57" s="63">
        <f t="shared" si="9"/>
        <v>103446.28235644077</v>
      </c>
      <c r="Y57" s="63">
        <f t="shared" si="21"/>
        <v>-24729.122976765681</v>
      </c>
      <c r="Z57" s="63">
        <v>0</v>
      </c>
      <c r="AA57" s="63">
        <f t="shared" ca="1" si="10"/>
        <v>18916.547052721744</v>
      </c>
      <c r="AB57" s="64">
        <f t="shared" ca="1" si="0"/>
        <v>97633.706432396837</v>
      </c>
      <c r="AC57" s="51"/>
      <c r="AD57" s="51">
        <f t="shared" si="1"/>
        <v>0</v>
      </c>
      <c r="AE57" s="64">
        <f t="shared" si="11"/>
        <v>94626.791488993651</v>
      </c>
      <c r="AF57" s="64">
        <f t="shared" si="12"/>
        <v>-22620.799030409937</v>
      </c>
      <c r="AG57" s="51">
        <f t="shared" si="2"/>
        <v>0</v>
      </c>
      <c r="AH57" s="64">
        <f t="shared" ca="1" si="13"/>
        <v>17303.784272129407</v>
      </c>
      <c r="AI57" s="64">
        <f t="shared" ca="1" si="3"/>
        <v>89309.776730713114</v>
      </c>
      <c r="AJ57" s="57"/>
      <c r="AK57" s="51">
        <f ca="1">SUM(AD57:AD$59,AG57:AG$59)/D57+SUM(AE58:AF$60,AH58:AH$59)/D57</f>
        <v>153391.83978776072</v>
      </c>
      <c r="AL57" s="51">
        <f>SUM(AE58:$AF$60)*$F$14/D57</f>
        <v>7224.5465781503444</v>
      </c>
      <c r="AM57" s="19"/>
      <c r="AN57" s="51">
        <f ca="1">-SUM(AD57:$AD$60,AH57:$AH$60)/D57</f>
        <v>-27817.455277475583</v>
      </c>
      <c r="AO57" s="51">
        <f ca="1">-SUM(W57:$W$60,AA57:$AA$60)</f>
        <v>-27861.629875934406</v>
      </c>
      <c r="AP57" s="19"/>
      <c r="AQ57" s="19"/>
      <c r="AR57" s="19"/>
      <c r="AS57" s="19"/>
    </row>
    <row r="58" spans="1:45" outlineLevel="1" x14ac:dyDescent="0.55000000000000004">
      <c r="A58" s="9"/>
      <c r="B58" s="1" t="s">
        <v>29</v>
      </c>
      <c r="C58" s="3">
        <v>19</v>
      </c>
      <c r="D58" s="87">
        <f t="shared" si="4"/>
        <v>0.91022588986284314</v>
      </c>
      <c r="E58" s="4"/>
      <c r="F58" s="84">
        <f t="shared" si="22"/>
        <v>0.34647941560420414</v>
      </c>
      <c r="G58" s="84">
        <f t="shared" si="23"/>
        <v>0.35641839651888485</v>
      </c>
      <c r="H58" s="84">
        <f t="shared" si="24"/>
        <v>0.31537453438749458</v>
      </c>
      <c r="I58" s="4"/>
      <c r="J58" s="98">
        <v>1</v>
      </c>
      <c r="K58" s="94">
        <f t="shared" si="25"/>
        <v>0.05</v>
      </c>
      <c r="L58" s="47">
        <f t="shared" si="26"/>
        <v>0.35641839651888485</v>
      </c>
      <c r="M58" s="47">
        <f t="shared" si="27"/>
        <v>0.32442125213488965</v>
      </c>
      <c r="N58" s="4"/>
      <c r="O58" s="98">
        <v>1</v>
      </c>
      <c r="P58" s="94">
        <f t="shared" si="28"/>
        <v>0.05</v>
      </c>
      <c r="Q58" s="47">
        <f t="shared" si="29"/>
        <v>0.35641839651888485</v>
      </c>
      <c r="R58" s="47">
        <f t="shared" si="30"/>
        <v>0.32442125213488965</v>
      </c>
      <c r="S58" s="51"/>
      <c r="T58" s="130">
        <v>0</v>
      </c>
      <c r="U58" s="135">
        <f t="shared" si="20"/>
        <v>0</v>
      </c>
      <c r="W58" s="63">
        <f t="shared" si="8"/>
        <v>0</v>
      </c>
      <c r="X58" s="63">
        <f t="shared" si="9"/>
        <v>98077.125280110951</v>
      </c>
      <c r="Y58" s="63">
        <f t="shared" si="21"/>
        <v>-23387.360553283779</v>
      </c>
      <c r="Z58" s="63">
        <v>0</v>
      </c>
      <c r="AA58" s="63">
        <f t="shared" ca="1" si="10"/>
        <v>8945.0828232126605</v>
      </c>
      <c r="AB58" s="64">
        <f t="shared" ca="1" si="0"/>
        <v>83634.847550039834</v>
      </c>
      <c r="AC58" s="51"/>
      <c r="AD58" s="51">
        <f t="shared" si="1"/>
        <v>0</v>
      </c>
      <c r="AE58" s="64">
        <f t="shared" si="11"/>
        <v>89272.338633278545</v>
      </c>
      <c r="AF58" s="64">
        <f t="shared" si="12"/>
        <v>-21287.781071155885</v>
      </c>
      <c r="AG58" s="51">
        <f t="shared" si="2"/>
        <v>0</v>
      </c>
      <c r="AH58" s="64">
        <f t="shared" ca="1" si="13"/>
        <v>8142.0459726555773</v>
      </c>
      <c r="AI58" s="64">
        <f t="shared" ca="1" si="3"/>
        <v>76126.603534778231</v>
      </c>
      <c r="AJ58" s="57"/>
      <c r="AK58" s="51">
        <f ca="1">SUM(AD58:AD$59,AG58:AG$59)/D58+SUM(AE59:AF$60,AH59:AH$59)/D58</f>
        <v>70518.265442475371</v>
      </c>
      <c r="AL58" s="51">
        <f>SUM(AE59:$AF$60)*$F$14/D58</f>
        <v>3525.9132721237688</v>
      </c>
      <c r="AM58" s="19"/>
      <c r="AN58" s="51">
        <f ca="1">-SUM(AD58:$AD$60,AH58:$AH$60)/D58</f>
        <v>-8945.0828232126605</v>
      </c>
      <c r="AO58" s="51">
        <f ca="1">-SUM(W58:$W$60,AA58:$AA$60)</f>
        <v>-8945.0828232126605</v>
      </c>
      <c r="AP58" s="19"/>
      <c r="AQ58" s="19"/>
      <c r="AR58" s="19"/>
      <c r="AS58" s="19"/>
    </row>
    <row r="59" spans="1:45" outlineLevel="1" x14ac:dyDescent="0.55000000000000004">
      <c r="A59" s="9"/>
      <c r="B59" s="1" t="s">
        <v>30</v>
      </c>
      <c r="C59" s="3">
        <v>20</v>
      </c>
      <c r="D59" s="87">
        <f t="shared" si="4"/>
        <v>0.90573080982991483</v>
      </c>
      <c r="E59" s="4"/>
      <c r="F59" s="84">
        <f t="shared" si="22"/>
        <v>0.32768000000000019</v>
      </c>
      <c r="G59" s="84">
        <f t="shared" si="23"/>
        <v>0.33707970780210217</v>
      </c>
      <c r="H59" s="84">
        <f t="shared" si="24"/>
        <v>0.29678987176506666</v>
      </c>
      <c r="I59" s="4"/>
      <c r="J59" s="98">
        <v>1</v>
      </c>
      <c r="K59" s="94">
        <f t="shared" si="25"/>
        <v>0.05</v>
      </c>
      <c r="L59" s="47">
        <f t="shared" si="26"/>
        <v>0.33707970780210217</v>
      </c>
      <c r="M59" s="47">
        <f t="shared" si="27"/>
        <v>0.30530347672482905</v>
      </c>
      <c r="N59" s="4"/>
      <c r="O59" s="98">
        <v>1</v>
      </c>
      <c r="P59" s="94">
        <f t="shared" si="28"/>
        <v>0.05</v>
      </c>
      <c r="Q59" s="47">
        <f t="shared" si="29"/>
        <v>0.33707970780210217</v>
      </c>
      <c r="R59" s="47">
        <f t="shared" si="30"/>
        <v>0.30530347672482905</v>
      </c>
      <c r="S59" s="51"/>
      <c r="T59" s="130">
        <v>0</v>
      </c>
      <c r="U59" s="135">
        <f t="shared" si="20"/>
        <v>0</v>
      </c>
      <c r="W59" s="63">
        <f t="shared" si="8"/>
        <v>0</v>
      </c>
      <c r="X59" s="63">
        <f t="shared" si="9"/>
        <v>92986.64276852741</v>
      </c>
      <c r="Y59" s="63">
        <f t="shared" si="21"/>
        <v>-22118.400000000012</v>
      </c>
      <c r="Z59" s="63">
        <v>0</v>
      </c>
      <c r="AA59" s="63">
        <f t="shared" ca="1" si="10"/>
        <v>0</v>
      </c>
      <c r="AB59" s="64">
        <f t="shared" ca="1" si="0"/>
        <v>70868.242768527401</v>
      </c>
      <c r="AC59" s="51"/>
      <c r="AD59" s="51">
        <f t="shared" si="1"/>
        <v>0</v>
      </c>
      <c r="AE59" s="64">
        <f t="shared" si="11"/>
        <v>84220.867258103332</v>
      </c>
      <c r="AF59" s="64">
        <f t="shared" si="12"/>
        <v>-20033.316344142</v>
      </c>
      <c r="AG59" s="51">
        <f t="shared" si="2"/>
        <v>0</v>
      </c>
      <c r="AH59" s="64">
        <f t="shared" ca="1" si="13"/>
        <v>0</v>
      </c>
      <c r="AI59" s="64">
        <f t="shared" ca="1" si="3"/>
        <v>64187.550913961328</v>
      </c>
      <c r="AJ59" s="57"/>
      <c r="AK59" s="51">
        <f ca="1">SUM(AD59:AD$59,AG59:AG$59)/D59+SUM(AE60:AF$60,AH$59:AH60)/D59</f>
        <v>0</v>
      </c>
      <c r="AL59" s="51">
        <f>SUM(AE60:$AF$60)*$F$14/D59</f>
        <v>0</v>
      </c>
      <c r="AM59" s="19"/>
      <c r="AN59" s="51">
        <f ca="1">-SUM(AD59:$AD$60,AH59:$AH$60)/D59</f>
        <v>0</v>
      </c>
      <c r="AO59" s="51">
        <f ca="1">-SUM(W59:$W$60,AA59:$AA$60)</f>
        <v>0</v>
      </c>
      <c r="AP59" s="19"/>
      <c r="AQ59" s="19"/>
      <c r="AR59" s="19"/>
      <c r="AS59" s="19"/>
    </row>
    <row r="60" spans="1:45" outlineLevel="1" x14ac:dyDescent="0.55000000000000004">
      <c r="B60" s="8"/>
      <c r="C60" s="6"/>
      <c r="D60" s="7"/>
      <c r="E60" s="2"/>
      <c r="F60" s="85"/>
      <c r="G60" s="85"/>
      <c r="H60" s="79"/>
      <c r="I60" s="2"/>
      <c r="J60" s="6"/>
      <c r="K60" s="6"/>
      <c r="L60" s="71"/>
      <c r="M60" s="90"/>
      <c r="N60" s="2"/>
      <c r="O60" s="12"/>
      <c r="P60" s="12"/>
      <c r="Q60" s="50"/>
      <c r="R60" s="90"/>
      <c r="S60" s="55"/>
      <c r="T60" s="136"/>
      <c r="U60" s="136"/>
      <c r="W60" s="66"/>
      <c r="X60" s="66"/>
      <c r="Y60" s="66"/>
      <c r="Z60" s="66"/>
      <c r="AA60" s="66"/>
      <c r="AB60" s="66"/>
      <c r="AC60" s="55"/>
      <c r="AD60" s="67"/>
      <c r="AE60" s="68"/>
      <c r="AF60" s="68"/>
      <c r="AG60" s="67"/>
      <c r="AH60" s="67"/>
      <c r="AI60" s="68"/>
      <c r="AJ60" s="57"/>
      <c r="AK60" s="67"/>
      <c r="AL60" s="67"/>
      <c r="AM60" s="19"/>
      <c r="AN60" s="121"/>
      <c r="AO60" s="121"/>
      <c r="AP60" s="19"/>
      <c r="AQ60" s="19"/>
      <c r="AR60" s="19"/>
      <c r="AS60" s="19"/>
    </row>
    <row r="61" spans="1:45" outlineLevel="1" x14ac:dyDescent="0.55000000000000004">
      <c r="A61" s="9"/>
      <c r="B61" s="4"/>
      <c r="C61" s="4"/>
      <c r="D61" s="4"/>
      <c r="E61" s="4"/>
      <c r="F61" s="3"/>
      <c r="G61" s="3"/>
      <c r="H61" s="4"/>
      <c r="I61" s="4"/>
      <c r="J61" s="4"/>
      <c r="K61" s="4"/>
      <c r="L61" s="51"/>
      <c r="M61" s="51"/>
      <c r="N61" s="4"/>
      <c r="O61" s="4"/>
      <c r="P61" s="4"/>
      <c r="Q61" s="51"/>
      <c r="R61" s="51"/>
      <c r="S61" s="51"/>
      <c r="T61" s="4"/>
      <c r="U61" s="4"/>
      <c r="W61" s="51"/>
      <c r="X61" s="51"/>
      <c r="Y61" s="51"/>
      <c r="Z61" s="51"/>
      <c r="AA61" s="51"/>
      <c r="AB61" s="51"/>
      <c r="AC61" s="51"/>
      <c r="AD61" s="51"/>
      <c r="AE61" s="51"/>
      <c r="AF61" s="51"/>
      <c r="AG61" s="51"/>
      <c r="AH61" s="51"/>
      <c r="AI61" s="51"/>
      <c r="AJ61" s="57"/>
      <c r="AK61" s="51"/>
      <c r="AL61" s="51"/>
      <c r="AM61" s="19"/>
      <c r="AN61" s="55"/>
      <c r="AO61" s="55"/>
      <c r="AP61" s="19"/>
      <c r="AQ61" s="19"/>
      <c r="AR61" s="19"/>
      <c r="AS61" s="19"/>
    </row>
    <row r="62" spans="1:45" outlineLevel="1" x14ac:dyDescent="0.55000000000000004">
      <c r="A62" s="9"/>
      <c r="B62" s="24"/>
      <c r="C62" s="24"/>
      <c r="D62" s="25"/>
      <c r="E62" s="4"/>
      <c r="F62" s="26"/>
      <c r="G62" s="26"/>
      <c r="H62" s="26"/>
      <c r="I62" s="4"/>
      <c r="J62" s="80">
        <f>SUM(J40:J59)</f>
        <v>20</v>
      </c>
      <c r="K62" s="95">
        <f>SUM(K40:K59)</f>
        <v>1.0000000000000002</v>
      </c>
      <c r="L62" s="81">
        <f>SUM(L40:L59)</f>
        <v>12.054918829435836</v>
      </c>
      <c r="M62" s="81">
        <f>SUM(M40:M59)</f>
        <v>11.552133142258214</v>
      </c>
      <c r="N62" s="4"/>
      <c r="O62" s="80">
        <f>SUM(O40:O59)</f>
        <v>20</v>
      </c>
      <c r="P62" s="95">
        <f>SUM(P40:P59)</f>
        <v>1.0000000000000002</v>
      </c>
      <c r="Q62" s="81">
        <f>SUM(Q40:Q59)</f>
        <v>12.054918829435836</v>
      </c>
      <c r="R62" s="81">
        <f>SUM(R40:R59)</f>
        <v>11.552133142258214</v>
      </c>
      <c r="S62" s="52"/>
      <c r="T62" s="80">
        <f>SUM(T40:T59)</f>
        <v>1</v>
      </c>
      <c r="U62" s="95">
        <f>SUM(U40:U59)</f>
        <v>1</v>
      </c>
      <c r="W62" s="52">
        <f t="shared" ref="W62:AB62" si="31">SUM(W39:W59)</f>
        <v>-9000000</v>
      </c>
      <c r="X62" s="52">
        <f t="shared" si="31"/>
        <v>3233461.2242917418</v>
      </c>
      <c r="Y62" s="52">
        <f t="shared" si="31"/>
        <v>-791016.2209869189</v>
      </c>
      <c r="Z62" s="52">
        <f t="shared" si="31"/>
        <v>-900000</v>
      </c>
      <c r="AA62" s="52">
        <f t="shared" ca="1" si="31"/>
        <v>3424014.526753875</v>
      </c>
      <c r="AB62" s="52">
        <f t="shared" ca="1" si="31"/>
        <v>-4033540.4699413036</v>
      </c>
      <c r="AC62" s="51"/>
      <c r="AD62" s="52">
        <f t="shared" ref="AD62:AI62" si="32">SUM(AD39:AD59)</f>
        <v>-9000000</v>
      </c>
      <c r="AE62" s="52">
        <f t="shared" si="32"/>
        <v>3097410.3416428976</v>
      </c>
      <c r="AF62" s="52">
        <f t="shared" si="32"/>
        <v>-758024.57335620897</v>
      </c>
      <c r="AG62" s="52">
        <f t="shared" si="32"/>
        <v>-900000</v>
      </c>
      <c r="AH62" s="52">
        <f t="shared" ca="1" si="32"/>
        <v>3325848.0781470933</v>
      </c>
      <c r="AI62" s="52">
        <f t="shared" ca="1" si="32"/>
        <v>-4234766.1535662143</v>
      </c>
      <c r="AJ62" s="52"/>
      <c r="AK62" s="52"/>
      <c r="AL62" s="52"/>
      <c r="AM62" s="19"/>
      <c r="AN62" s="128"/>
      <c r="AO62" s="51"/>
    </row>
    <row r="63" spans="1:45" ht="15.3" x14ac:dyDescent="0.55000000000000004">
      <c r="A63" s="9"/>
      <c r="B63" s="24"/>
      <c r="C63" s="24"/>
      <c r="D63" s="4"/>
      <c r="E63" s="4"/>
      <c r="F63" s="4"/>
      <c r="G63" s="4"/>
      <c r="H63" s="4"/>
      <c r="I63" s="4"/>
      <c r="J63" s="24"/>
      <c r="K63" s="24"/>
      <c r="L63" s="52"/>
      <c r="M63" s="52"/>
      <c r="N63" s="4"/>
      <c r="O63" s="24"/>
      <c r="P63" s="24"/>
      <c r="Q63" s="52"/>
      <c r="R63" s="52"/>
      <c r="S63" s="51"/>
      <c r="W63" s="52"/>
      <c r="X63" s="72"/>
      <c r="Y63" s="72"/>
      <c r="Z63" s="52"/>
      <c r="AA63" s="52"/>
      <c r="AB63" s="52"/>
      <c r="AC63" s="51"/>
      <c r="AD63" s="52"/>
      <c r="AE63" s="73"/>
      <c r="AF63" s="73"/>
      <c r="AG63" s="52"/>
      <c r="AH63" s="52"/>
      <c r="AI63" s="52"/>
      <c r="AJ63" s="57"/>
      <c r="AK63" s="52"/>
      <c r="AL63" s="52"/>
      <c r="AM63" s="52"/>
      <c r="AN63" s="52"/>
      <c r="AO63" s="51"/>
    </row>
    <row r="64" spans="1:45" ht="15.3" x14ac:dyDescent="0.55000000000000004">
      <c r="A64" s="9"/>
      <c r="B64" s="24"/>
      <c r="C64" s="24"/>
      <c r="D64" s="4"/>
      <c r="E64" s="4"/>
      <c r="F64" s="4"/>
      <c r="G64" s="4"/>
      <c r="H64" s="4"/>
      <c r="I64" s="4"/>
      <c r="J64" s="24"/>
      <c r="K64" s="24"/>
      <c r="L64" s="52"/>
      <c r="M64" s="52"/>
      <c r="N64" s="4"/>
      <c r="O64" s="24"/>
      <c r="P64" s="24"/>
      <c r="Q64" s="52"/>
      <c r="R64" s="52"/>
      <c r="S64" s="51"/>
      <c r="W64" s="52"/>
      <c r="X64" s="72"/>
      <c r="Y64" s="72"/>
      <c r="Z64" s="52"/>
      <c r="AA64" s="52"/>
      <c r="AB64" s="52"/>
      <c r="AC64" s="51"/>
      <c r="AD64" s="52"/>
      <c r="AE64" s="73"/>
      <c r="AF64" s="73"/>
      <c r="AG64" s="52"/>
      <c r="AH64" s="52"/>
      <c r="AI64" s="52"/>
      <c r="AJ64" s="57"/>
      <c r="AK64" s="52"/>
      <c r="AL64" s="52"/>
      <c r="AM64" s="52"/>
      <c r="AN64" s="52"/>
      <c r="AO64" s="51"/>
    </row>
    <row r="65" spans="1:45" ht="18.3" x14ac:dyDescent="0.55000000000000004">
      <c r="A65" s="2"/>
      <c r="B65" s="143" t="s">
        <v>165</v>
      </c>
      <c r="C65" s="107"/>
      <c r="D65" s="108"/>
      <c r="H65" s="105"/>
      <c r="J65" s="2"/>
      <c r="K65" s="2"/>
      <c r="N65" s="2"/>
      <c r="O65" s="2"/>
      <c r="P65" s="2"/>
      <c r="Q65" s="2"/>
      <c r="S65" s="2"/>
      <c r="W65" s="55"/>
      <c r="X65" s="55"/>
      <c r="Y65" s="55"/>
      <c r="Z65" s="55"/>
      <c r="AA65" s="55"/>
      <c r="AB65" s="55"/>
      <c r="AC65" s="2"/>
      <c r="AD65" s="22"/>
      <c r="AE65" s="2"/>
      <c r="AF65" s="2"/>
      <c r="AG65" s="2"/>
      <c r="AH65" s="2"/>
      <c r="AI65" s="2"/>
      <c r="AJ65" s="21"/>
      <c r="AK65" s="2"/>
      <c r="AL65" s="2"/>
      <c r="AM65" s="2"/>
      <c r="AN65" s="55"/>
      <c r="AO65" s="55"/>
    </row>
    <row r="66" spans="1:45" outlineLevel="1" x14ac:dyDescent="0.55000000000000004">
      <c r="D66" s="2"/>
      <c r="E66" s="2"/>
      <c r="F66" s="2"/>
      <c r="G66" s="2"/>
      <c r="H66" s="2"/>
      <c r="I66" s="2"/>
      <c r="J66" s="2"/>
      <c r="K66" s="2"/>
      <c r="L66" s="2"/>
      <c r="M66" s="2"/>
      <c r="N66" s="2"/>
      <c r="O66" s="2"/>
      <c r="P66" s="2"/>
      <c r="Q66" s="2"/>
      <c r="R66" s="2"/>
      <c r="S66" s="2"/>
      <c r="W66" s="55"/>
      <c r="X66" s="55"/>
      <c r="Y66" s="55"/>
      <c r="Z66" s="55"/>
      <c r="AA66" s="113"/>
      <c r="AB66" s="114"/>
      <c r="AC66" s="2"/>
      <c r="AD66" s="2"/>
      <c r="AE66" s="2"/>
      <c r="AF66" s="2"/>
      <c r="AG66" s="2"/>
      <c r="AH66" s="2"/>
      <c r="AI66" s="2"/>
      <c r="AJ66" s="21"/>
      <c r="AK66" s="2"/>
      <c r="AL66" s="2"/>
      <c r="AM66" s="2"/>
      <c r="AN66" s="55"/>
      <c r="AO66" s="55"/>
    </row>
    <row r="67" spans="1:45" ht="19.899999999999999" customHeight="1" outlineLevel="1" x14ac:dyDescent="0.55000000000000004">
      <c r="B67" s="185" t="s">
        <v>67</v>
      </c>
      <c r="C67" s="185"/>
      <c r="D67" s="185"/>
      <c r="E67" s="2"/>
      <c r="F67" s="187" t="s">
        <v>127</v>
      </c>
      <c r="G67" s="187"/>
      <c r="H67" s="187"/>
      <c r="I67" s="2"/>
      <c r="J67" s="187" t="s">
        <v>69</v>
      </c>
      <c r="K67" s="187"/>
      <c r="L67" s="187"/>
      <c r="M67" s="187"/>
      <c r="N67" s="2"/>
      <c r="O67" s="187" t="s">
        <v>38</v>
      </c>
      <c r="P67" s="187"/>
      <c r="Q67" s="187"/>
      <c r="R67" s="187"/>
      <c r="S67" s="2"/>
      <c r="T67" s="190" t="s">
        <v>461</v>
      </c>
      <c r="U67" s="190"/>
      <c r="W67" s="188" t="s">
        <v>31</v>
      </c>
      <c r="X67" s="188"/>
      <c r="Y67" s="188"/>
      <c r="Z67" s="188"/>
      <c r="AA67" s="188"/>
      <c r="AB67" s="188"/>
      <c r="AC67" s="2"/>
      <c r="AD67" s="189" t="s">
        <v>32</v>
      </c>
      <c r="AE67" s="189"/>
      <c r="AF67" s="189"/>
      <c r="AG67" s="189"/>
      <c r="AH67" s="189"/>
      <c r="AI67" s="189"/>
      <c r="AJ67" s="21"/>
      <c r="AK67" s="189" t="s">
        <v>149</v>
      </c>
      <c r="AL67" s="189"/>
      <c r="AM67" s="51"/>
      <c r="AN67" s="188" t="s">
        <v>325</v>
      </c>
      <c r="AO67" s="188"/>
      <c r="AQ67" s="185" t="s">
        <v>143</v>
      </c>
      <c r="AR67" s="185"/>
      <c r="AS67" s="185"/>
    </row>
    <row r="68" spans="1:45" ht="30.6" customHeight="1" outlineLevel="1" x14ac:dyDescent="0.55000000000000004">
      <c r="B68" s="145" t="s">
        <v>145</v>
      </c>
      <c r="C68" s="145" t="s">
        <v>10</v>
      </c>
      <c r="D68" s="78" t="s">
        <v>124</v>
      </c>
      <c r="E68" s="13"/>
      <c r="F68" s="82" t="s">
        <v>127</v>
      </c>
      <c r="G68" s="82" t="s">
        <v>153</v>
      </c>
      <c r="H68" s="133" t="s">
        <v>2</v>
      </c>
      <c r="I68" s="2"/>
      <c r="J68" s="88" t="s">
        <v>125</v>
      </c>
      <c r="K68" s="88" t="s">
        <v>36</v>
      </c>
      <c r="L68" s="48" t="s">
        <v>129</v>
      </c>
      <c r="M68" s="133" t="s">
        <v>2</v>
      </c>
      <c r="N68" s="13"/>
      <c r="O68" s="91" t="s">
        <v>126</v>
      </c>
      <c r="P68" s="91" t="s">
        <v>36</v>
      </c>
      <c r="Q68" s="92" t="s">
        <v>130</v>
      </c>
      <c r="R68" s="133" t="s">
        <v>2</v>
      </c>
      <c r="S68" s="55"/>
      <c r="T68" s="91" t="s">
        <v>154</v>
      </c>
      <c r="U68" s="91" t="s">
        <v>36</v>
      </c>
      <c r="W68" s="53" t="s">
        <v>12</v>
      </c>
      <c r="X68" s="53" t="s">
        <v>34</v>
      </c>
      <c r="Y68" s="53" t="s">
        <v>35</v>
      </c>
      <c r="Z68" s="53" t="s">
        <v>41</v>
      </c>
      <c r="AA68" s="56" t="s">
        <v>119</v>
      </c>
      <c r="AB68" s="53" t="s">
        <v>1</v>
      </c>
      <c r="AC68" s="55"/>
      <c r="AD68" s="53" t="s">
        <v>12</v>
      </c>
      <c r="AE68" s="53" t="s">
        <v>34</v>
      </c>
      <c r="AF68" s="53" t="s">
        <v>35</v>
      </c>
      <c r="AG68" s="56" t="s">
        <v>41</v>
      </c>
      <c r="AH68" s="56" t="s">
        <v>119</v>
      </c>
      <c r="AI68" s="53" t="s">
        <v>1</v>
      </c>
      <c r="AJ68" s="57"/>
      <c r="AK68" s="58" t="s">
        <v>3</v>
      </c>
      <c r="AL68" s="58" t="s">
        <v>0</v>
      </c>
      <c r="AM68" s="51"/>
      <c r="AN68" s="76" t="s">
        <v>45</v>
      </c>
      <c r="AO68" s="76" t="s">
        <v>146</v>
      </c>
      <c r="AQ68" s="58" t="s">
        <v>3</v>
      </c>
      <c r="AR68" s="58" t="s">
        <v>0</v>
      </c>
      <c r="AS68" s="58" t="s">
        <v>12</v>
      </c>
    </row>
    <row r="69" spans="1:45" s="19" customFormat="1" outlineLevel="1" x14ac:dyDescent="0.55000000000000004">
      <c r="B69" s="15" t="s">
        <v>204</v>
      </c>
      <c r="C69" s="15" t="s">
        <v>205</v>
      </c>
      <c r="D69" s="16" t="s">
        <v>206</v>
      </c>
      <c r="E69" s="20"/>
      <c r="F69" s="83" t="s">
        <v>207</v>
      </c>
      <c r="G69" s="83" t="s">
        <v>208</v>
      </c>
      <c r="H69" s="18" t="s">
        <v>209</v>
      </c>
      <c r="I69" s="23"/>
      <c r="J69" s="18" t="s">
        <v>210</v>
      </c>
      <c r="K69" s="18" t="s">
        <v>211</v>
      </c>
      <c r="L69" s="18" t="s">
        <v>212</v>
      </c>
      <c r="M69" s="17" t="s">
        <v>213</v>
      </c>
      <c r="N69" s="20"/>
      <c r="O69" s="17" t="s">
        <v>214</v>
      </c>
      <c r="P69" s="17" t="s">
        <v>215</v>
      </c>
      <c r="Q69" s="17" t="s">
        <v>216</v>
      </c>
      <c r="R69" s="142" t="s">
        <v>217</v>
      </c>
      <c r="S69" s="61"/>
      <c r="T69" s="17" t="s">
        <v>218</v>
      </c>
      <c r="U69" s="17" t="s">
        <v>219</v>
      </c>
      <c r="W69" s="60" t="s">
        <v>220</v>
      </c>
      <c r="X69" s="60" t="s">
        <v>221</v>
      </c>
      <c r="Y69" s="60" t="s">
        <v>222</v>
      </c>
      <c r="Z69" s="60" t="s">
        <v>223</v>
      </c>
      <c r="AA69" s="60" t="s">
        <v>224</v>
      </c>
      <c r="AB69" s="60" t="s">
        <v>225</v>
      </c>
      <c r="AC69" s="61"/>
      <c r="AD69" s="60" t="s">
        <v>226</v>
      </c>
      <c r="AE69" s="60" t="s">
        <v>227</v>
      </c>
      <c r="AF69" s="60" t="s">
        <v>228</v>
      </c>
      <c r="AG69" s="60" t="s">
        <v>229</v>
      </c>
      <c r="AH69" s="60" t="s">
        <v>230</v>
      </c>
      <c r="AI69" s="60" t="s">
        <v>231</v>
      </c>
      <c r="AJ69" s="62"/>
      <c r="AK69" s="60" t="s">
        <v>232</v>
      </c>
      <c r="AL69" s="60" t="s">
        <v>233</v>
      </c>
      <c r="AN69" s="60" t="s">
        <v>234</v>
      </c>
      <c r="AO69" s="60" t="s">
        <v>235</v>
      </c>
      <c r="AQ69" s="60" t="s">
        <v>236</v>
      </c>
      <c r="AR69" s="60" t="s">
        <v>237</v>
      </c>
      <c r="AS69" s="60" t="s">
        <v>238</v>
      </c>
    </row>
    <row r="70" spans="1:45" outlineLevel="1" x14ac:dyDescent="0.55000000000000004">
      <c r="B70" s="1"/>
      <c r="C70" s="3">
        <v>0</v>
      </c>
      <c r="D70" s="87">
        <v>1</v>
      </c>
      <c r="E70" s="2"/>
      <c r="F70" s="84">
        <v>1</v>
      </c>
      <c r="G70" s="84"/>
      <c r="H70" s="5"/>
      <c r="I70" s="2"/>
      <c r="J70" s="2"/>
      <c r="K70" s="2"/>
      <c r="L70" s="55"/>
      <c r="M70" s="55"/>
      <c r="N70" s="2"/>
      <c r="O70" s="10"/>
      <c r="P70" s="10"/>
      <c r="Q70" s="49"/>
      <c r="R70" s="55"/>
      <c r="S70" s="55"/>
      <c r="T70" s="2"/>
      <c r="U70" s="2"/>
      <c r="W70" s="63">
        <f>IFERROR(IF(C70&gt;=$F$7*4,0,-IF($F$22="pattern",U71*$F$21,IF(AND($F$22="single",C70=0),$F$21,IF(AND($F$22="annual",MOD(C70,4)=0),$F$21/$F$7,IF(AND($F$22="semi-ann",MOD(C70,2)=0),$F$21/(2*$F$7),IF($F$22="quarterly",$F$21/(4*$F$7),0)))))*F70),0)</f>
        <v>-9000000</v>
      </c>
      <c r="X70" s="63"/>
      <c r="Y70" s="63"/>
      <c r="Z70" s="63">
        <f>-$F$13*$F$21</f>
        <v>-900000</v>
      </c>
      <c r="AA70" s="63"/>
      <c r="AB70" s="64">
        <f t="shared" ref="AB70:AB90" si="33">SUM(W70:AA70)</f>
        <v>-9900000</v>
      </c>
      <c r="AC70" s="55"/>
      <c r="AD70" s="64">
        <f t="shared" ref="AD70:AD90" si="34">W70*$D70</f>
        <v>-9000000</v>
      </c>
      <c r="AE70" s="64"/>
      <c r="AF70" s="64"/>
      <c r="AG70" s="64">
        <f t="shared" ref="AG70:AG90" si="35">Z70*$D70</f>
        <v>-900000</v>
      </c>
      <c r="AH70" s="64"/>
      <c r="AI70" s="64">
        <f t="shared" ref="AI70:AI90" si="36">SUM(AD70:AH70)</f>
        <v>-9900000</v>
      </c>
      <c r="AJ70" s="57"/>
      <c r="AK70" s="51">
        <f ca="1">SUM(AD70:AD$90,AG70:AG$90)/D70+SUM(AE71:AF$91,AH71:AH$90)/D70</f>
        <v>-5089822.4060712969</v>
      </c>
      <c r="AL70" s="51">
        <f>SUM(AE71:$AF$91)*$G$14/D70</f>
        <v>81399.004217487731</v>
      </c>
      <c r="AM70" s="51"/>
      <c r="AN70" s="51">
        <f ca="1">-SUM(AD70:$AD$91,AH70:$AH$91)/D70</f>
        <v>6903122.5466542225</v>
      </c>
      <c r="AO70" s="51">
        <f ca="1">-SUM(W70:$W$91,AA70:$AA$91)</f>
        <v>6855177.981072288</v>
      </c>
      <c r="AQ70" s="9">
        <f t="shared" ref="AQ70:AQ90" ca="1" si="37">AK70-AK39</f>
        <v>-855056.25250508077</v>
      </c>
      <c r="AR70" s="9">
        <f t="shared" ref="AR70:AR90" si="38">AL70-AL39</f>
        <v>-35570.284196846682</v>
      </c>
      <c r="AS70" s="9">
        <f t="shared" ref="AS70:AS90" ca="1" si="39">IF($F$27="yes",AN70-AN39,AO70-AO39)</f>
        <v>1228970.6248013163</v>
      </c>
    </row>
    <row r="71" spans="1:45" outlineLevel="1" x14ac:dyDescent="0.55000000000000004">
      <c r="A71" s="9"/>
      <c r="B71" s="1" t="s">
        <v>6</v>
      </c>
      <c r="C71" s="3">
        <v>1</v>
      </c>
      <c r="D71" s="87">
        <f>D70/(1+$F$17)^(1/4)</f>
        <v>0.99506157747984325</v>
      </c>
      <c r="E71" s="4"/>
      <c r="F71" s="84">
        <f t="shared" ref="F71:F82" si="40">(1-IF(C71&lt;$F$8,$F$19,$G$19))^(C71/4)</f>
        <v>0.94574160900317583</v>
      </c>
      <c r="G71" s="84">
        <f>AVERAGE(F70:F71)</f>
        <v>0.97287080450158792</v>
      </c>
      <c r="H71" s="153">
        <f>F71*D71</f>
        <v>0.94107113734302528</v>
      </c>
      <c r="I71" s="4"/>
      <c r="J71" s="98">
        <v>1</v>
      </c>
      <c r="K71" s="94">
        <f t="shared" ref="K71:K82" si="41">J71/$J$93</f>
        <v>0.05</v>
      </c>
      <c r="L71" s="47">
        <f>J71*G71</f>
        <v>0.97287080450158792</v>
      </c>
      <c r="M71" s="47">
        <f>L71*D71</f>
        <v>0.96806635741143421</v>
      </c>
      <c r="N71" s="4"/>
      <c r="O71" s="98">
        <v>1</v>
      </c>
      <c r="P71" s="94">
        <f t="shared" ref="P71:P82" si="42">O71/$O$93</f>
        <v>0.05</v>
      </c>
      <c r="Q71" s="154">
        <f>O71*G71</f>
        <v>0.97287080450158792</v>
      </c>
      <c r="R71" s="154">
        <f>Q71*D71</f>
        <v>0.96806635741143421</v>
      </c>
      <c r="S71" s="51"/>
      <c r="T71" s="137">
        <v>0.20282873599525819</v>
      </c>
      <c r="U71" s="135">
        <f>T71/$T$93</f>
        <v>0.20282873599525819</v>
      </c>
      <c r="W71" s="63">
        <f t="shared" ref="W71:W90" si="43">IFERROR(IF(C71&gt;=$F$7*4,0,-IF($F$22="pattern",U72*$F$21,IF(AND($F$22="single",C71=0),$F$21,IF(AND($F$22="annual",MOD(C71,4)=0),$F$21/$F$7,IF(AND($F$22="semi-ann",MOD(C71,2)=0),$F$21/(2*$F$7),IF($F$22="quarterly",$F$21/(4*$F$7),0)))))*F71),0)</f>
        <v>0</v>
      </c>
      <c r="X71" s="63">
        <f>$F$21*IF(C71&lt;$F$8,$F$11,$G$11)*P71*((1+$F$18)^(MIN($F$8-1,C71)/4))*((1+$G$18)^(MAX(0,C71-$F$8+1)/4))*F71</f>
        <v>255986.22997766148</v>
      </c>
      <c r="Y71" s="63">
        <f>-$F$21*IF(C71&lt;$F$8,$F$12,$G$12)*IF($F$28="risk",P71*F71,IF($F$28="policies IF",F71/($F$7*4),1/($F$7*4)))</f>
        <v>-63837.558607714374</v>
      </c>
      <c r="Z71" s="63">
        <v>0</v>
      </c>
      <c r="AA71" s="63">
        <f t="shared" ref="AA71:AA90" ca="1" si="44">IF($F$25="no",0,1)*(F71-F70)*OFFSET(W71,-IF($F$22="single",C71,IF($F$22="annual",MOD(C71,4),IF($F$22="semi-ann",MOD(C71,2),0))),0)*IF($F$22="single",($F$7*4-C71)/($F$7*4),IF(AND($F$22="annual",MOD(C71,4)&lt;&gt;0),(4-MOD(C71,4))/4,IF(AND($F$22="semi-ann",MOD(C71,2)&lt;&gt;0),0.5,0)))</f>
        <v>463909.24302284658</v>
      </c>
      <c r="AB71" s="64">
        <f t="shared" ca="1" si="33"/>
        <v>656057.91439279367</v>
      </c>
      <c r="AC71" s="51"/>
      <c r="AD71" s="51">
        <f t="shared" si="34"/>
        <v>0</v>
      </c>
      <c r="AE71" s="64">
        <f t="shared" ref="AE71:AE90" si="45">X71*$D71</f>
        <v>254722.06181468978</v>
      </c>
      <c r="AF71" s="64">
        <f t="shared" ref="AF71:AF90" si="46">Y71*$D71</f>
        <v>-63522.301770654209</v>
      </c>
      <c r="AG71" s="51">
        <f t="shared" si="35"/>
        <v>0</v>
      </c>
      <c r="AH71" s="64">
        <f t="shared" ref="AH71:AH90" ca="1" si="47">AA71*$D71</f>
        <v>461618.2631697937</v>
      </c>
      <c r="AI71" s="64">
        <f t="shared" ca="1" si="36"/>
        <v>652818.02321382926</v>
      </c>
      <c r="AJ71" s="57"/>
      <c r="AK71" s="51">
        <f ca="1">SUM(AD71:AD$90,AG71:AG$90)/D71+SUM(AE72:AF$91,AH72:AH$90)/D71</f>
        <v>4177992.2617895361</v>
      </c>
      <c r="AL71" s="51">
        <f>SUM(AE72:$AF$91)*$G$14/D71</f>
        <v>76038.521764447622</v>
      </c>
      <c r="AM71" s="51"/>
      <c r="AN71" s="51">
        <f ca="1">-SUM(AD71:$AD$91,AH71:$AH$91)/D71</f>
        <v>-2107284.1126641277</v>
      </c>
      <c r="AO71" s="51">
        <f ca="1">-SUM(W71:$W$91,AA71:$AA$91)</f>
        <v>-2144822.0189277129</v>
      </c>
      <c r="AQ71" s="9">
        <f t="shared" ca="1" si="37"/>
        <v>-859299.83817750402</v>
      </c>
      <c r="AR71" s="9">
        <f t="shared" si="38"/>
        <v>-31903.843655956181</v>
      </c>
      <c r="AS71" s="9">
        <f t="shared" ca="1" si="39"/>
        <v>1235069.9219176811</v>
      </c>
    </row>
    <row r="72" spans="1:45" outlineLevel="1" x14ac:dyDescent="0.55000000000000004">
      <c r="A72" s="9"/>
      <c r="B72" s="1" t="s">
        <v>7</v>
      </c>
      <c r="C72" s="3">
        <v>2</v>
      </c>
      <c r="D72" s="87">
        <f t="shared" ref="D72:D90" si="48">D71/(1+$F$17)^(1/4)</f>
        <v>0.99014754297667418</v>
      </c>
      <c r="E72" s="4"/>
      <c r="F72" s="84">
        <f t="shared" si="40"/>
        <v>0.89442719099991586</v>
      </c>
      <c r="G72" s="84">
        <f t="shared" ref="G72:G82" si="49">AVERAGE(F71:F72)</f>
        <v>0.92008440000154579</v>
      </c>
      <c r="H72" s="153">
        <f t="shared" ref="H72:H82" si="50">F72*D72</f>
        <v>0.88561488554009515</v>
      </c>
      <c r="I72" s="4"/>
      <c r="J72" s="98">
        <v>1</v>
      </c>
      <c r="K72" s="94">
        <f t="shared" si="41"/>
        <v>0.05</v>
      </c>
      <c r="L72" s="47">
        <f t="shared" ref="L72:L82" si="51">J72*G72</f>
        <v>0.92008440000154579</v>
      </c>
      <c r="M72" s="47">
        <f t="shared" ref="M72:M82" si="52">L72*D72</f>
        <v>0.91101930799269804</v>
      </c>
      <c r="N72" s="4"/>
      <c r="O72" s="98">
        <v>1</v>
      </c>
      <c r="P72" s="94">
        <f t="shared" si="42"/>
        <v>0.05</v>
      </c>
      <c r="Q72" s="154">
        <f t="shared" ref="Q72:Q82" si="53">O72*G72</f>
        <v>0.92008440000154579</v>
      </c>
      <c r="R72" s="154">
        <f t="shared" ref="R72:R82" si="54">Q72*D72</f>
        <v>0.91101930799269804</v>
      </c>
      <c r="S72" s="51"/>
      <c r="T72" s="137">
        <v>0.17818906429460918</v>
      </c>
      <c r="U72" s="135">
        <f t="shared" ref="U72:U90" si="55">T72/$T$93</f>
        <v>0.17818906429460918</v>
      </c>
      <c r="W72" s="63">
        <f t="shared" si="43"/>
        <v>0</v>
      </c>
      <c r="X72" s="63">
        <f t="shared" ref="X72:X90" si="56">$F$21*IF(C72&lt;$F$8,$F$11,$G$11)*P72*((1+$F$18)^(MIN($F$8-1,C72)/4))*((1+$G$18)^(MAX(0,C72-$F$8+1)/4))*F72</f>
        <v>242699.81458583768</v>
      </c>
      <c r="Y72" s="63">
        <f t="shared" ref="Y72:Y90" si="57">-$F$21*IF(C72&lt;$F$8,$F$12,$G$12)*IF($F$28="risk",P72*F72,IF($F$28="policies IF",F72/($F$7*4),1/($F$7*4)))</f>
        <v>-60373.835392494322</v>
      </c>
      <c r="Z72" s="63">
        <v>0</v>
      </c>
      <c r="AA72" s="63">
        <f t="shared" ca="1" si="44"/>
        <v>415646.7858264058</v>
      </c>
      <c r="AB72" s="64">
        <f t="shared" ca="1" si="33"/>
        <v>597972.76501974917</v>
      </c>
      <c r="AC72" s="51"/>
      <c r="AD72" s="51">
        <f t="shared" si="34"/>
        <v>0</v>
      </c>
      <c r="AE72" s="64">
        <f t="shared" si="45"/>
        <v>240308.62509306156</v>
      </c>
      <c r="AF72" s="64">
        <f t="shared" si="46"/>
        <v>-59779.004773956425</v>
      </c>
      <c r="AG72" s="51">
        <f t="shared" si="35"/>
        <v>0</v>
      </c>
      <c r="AH72" s="64">
        <f t="shared" ca="1" si="47"/>
        <v>411551.64373216761</v>
      </c>
      <c r="AI72" s="64">
        <f t="shared" ca="1" si="36"/>
        <v>592081.26405127277</v>
      </c>
      <c r="AJ72" s="57"/>
      <c r="AK72" s="51">
        <f ca="1">SUM(AD72:AD$90,AG72:AG$90)/D72+SUM(AE73:AF$91,AH73:AH$90)/D72</f>
        <v>3600754.5864784238</v>
      </c>
      <c r="AL72" s="51">
        <f>SUM(AE73:$AF$91)*$G$14/D72</f>
        <v>70946.116369091833</v>
      </c>
      <c r="AM72" s="51"/>
      <c r="AN72" s="51">
        <f ca="1">-SUM(AD72:$AD$91,AH72:$AH$91)/D72</f>
        <v>-1651530.8266684331</v>
      </c>
      <c r="AO72" s="51">
        <f ca="1">-SUM(W72:$W$91,AA72:$AA$91)</f>
        <v>-1680912.7759048659</v>
      </c>
      <c r="AQ72" s="9">
        <f t="shared" ca="1" si="37"/>
        <v>-863564.48447524337</v>
      </c>
      <c r="AR72" s="9">
        <f t="shared" si="38"/>
        <v>-28415.660665076008</v>
      </c>
      <c r="AS72" s="9">
        <f t="shared" ca="1" si="39"/>
        <v>1241199.4894282816</v>
      </c>
    </row>
    <row r="73" spans="1:45" outlineLevel="1" x14ac:dyDescent="0.55000000000000004">
      <c r="A73" s="9"/>
      <c r="B73" s="1" t="s">
        <v>8</v>
      </c>
      <c r="C73" s="3">
        <v>3</v>
      </c>
      <c r="D73" s="87">
        <f t="shared" si="48"/>
        <v>0.98525777605216036</v>
      </c>
      <c r="E73" s="4"/>
      <c r="F73" s="84">
        <f t="shared" si="40"/>
        <v>0.84589701075245127</v>
      </c>
      <c r="G73" s="84">
        <f t="shared" si="49"/>
        <v>0.87016210087618351</v>
      </c>
      <c r="H73" s="153">
        <f t="shared" si="50"/>
        <v>0.83342660758313047</v>
      </c>
      <c r="I73" s="4"/>
      <c r="J73" s="98">
        <v>1</v>
      </c>
      <c r="K73" s="94">
        <f t="shared" si="41"/>
        <v>0.05</v>
      </c>
      <c r="L73" s="47">
        <f t="shared" si="51"/>
        <v>0.87016210087618351</v>
      </c>
      <c r="M73" s="47">
        <f t="shared" si="52"/>
        <v>0.85733397631414421</v>
      </c>
      <c r="N73" s="4"/>
      <c r="O73" s="98">
        <v>1</v>
      </c>
      <c r="P73" s="94">
        <f t="shared" si="42"/>
        <v>0.05</v>
      </c>
      <c r="Q73" s="154">
        <f t="shared" si="53"/>
        <v>0.87016210087618351</v>
      </c>
      <c r="R73" s="154">
        <f t="shared" si="54"/>
        <v>0.85733397631414421</v>
      </c>
      <c r="S73" s="51"/>
      <c r="T73" s="137">
        <v>0.20194032380116383</v>
      </c>
      <c r="U73" s="135">
        <f t="shared" si="55"/>
        <v>0.20194032380116383</v>
      </c>
      <c r="W73" s="63">
        <f t="shared" si="43"/>
        <v>0</v>
      </c>
      <c r="X73" s="63">
        <f t="shared" si="56"/>
        <v>230103.00204483719</v>
      </c>
      <c r="Y73" s="63">
        <f t="shared" si="57"/>
        <v>-57098.048225790466</v>
      </c>
      <c r="Z73" s="63">
        <v>0</v>
      </c>
      <c r="AA73" s="63">
        <f t="shared" ca="1" si="44"/>
        <v>371255.87889310409</v>
      </c>
      <c r="AB73" s="64">
        <f t="shared" ca="1" si="33"/>
        <v>544260.83271215088</v>
      </c>
      <c r="AC73" s="51"/>
      <c r="AD73" s="51">
        <f t="shared" si="34"/>
        <v>0</v>
      </c>
      <c r="AE73" s="64">
        <f t="shared" si="45"/>
        <v>226710.772057622</v>
      </c>
      <c r="AF73" s="64">
        <f t="shared" si="46"/>
        <v>-56256.296011861312</v>
      </c>
      <c r="AG73" s="51">
        <f t="shared" si="35"/>
        <v>0</v>
      </c>
      <c r="AH73" s="64">
        <f t="shared" ca="1" si="47"/>
        <v>365782.7415845099</v>
      </c>
      <c r="AI73" s="64">
        <f t="shared" ca="1" si="36"/>
        <v>536237.21763027064</v>
      </c>
      <c r="AJ73" s="57"/>
      <c r="AK73" s="51">
        <f ca="1">SUM(AD73:AD$90,AG73:AG$90)/D73+SUM(AE74:AF$91,AH74:AH$90)/D73</f>
        <v>3074364.0523908646</v>
      </c>
      <c r="AL73" s="51">
        <f>SUM(AE74:$AF$91)*$G$14/D73</f>
        <v>66108.068475444787</v>
      </c>
      <c r="AM73" s="51"/>
      <c r="AN73" s="51">
        <f ca="1">-SUM(AD73:$AD$91,AH73:$AH$91)/D73</f>
        <v>-1242017.6487691412</v>
      </c>
      <c r="AO73" s="51">
        <f ca="1">-SUM(W73:$W$91,AA73:$AA$91)</f>
        <v>-1265265.99007846</v>
      </c>
      <c r="AQ73" s="9">
        <f t="shared" ca="1" si="37"/>
        <v>-867850.29592074221</v>
      </c>
      <c r="AR73" s="9">
        <f t="shared" si="38"/>
        <v>-25096.586568183251</v>
      </c>
      <c r="AS73" s="9">
        <f t="shared" ca="1" si="39"/>
        <v>1247359.4775630096</v>
      </c>
    </row>
    <row r="74" spans="1:45" outlineLevel="1" x14ac:dyDescent="0.55000000000000004">
      <c r="A74" s="9"/>
      <c r="B74" s="1" t="s">
        <v>9</v>
      </c>
      <c r="C74" s="3">
        <v>4</v>
      </c>
      <c r="D74" s="87">
        <f t="shared" si="48"/>
        <v>0.98039215686274483</v>
      </c>
      <c r="E74" s="4"/>
      <c r="F74" s="84">
        <f t="shared" si="40"/>
        <v>0.8</v>
      </c>
      <c r="G74" s="84">
        <f t="shared" si="49"/>
        <v>0.82294850537622566</v>
      </c>
      <c r="H74" s="153">
        <f t="shared" si="50"/>
        <v>0.78431372549019596</v>
      </c>
      <c r="I74" s="4"/>
      <c r="J74" s="98">
        <v>1</v>
      </c>
      <c r="K74" s="94">
        <f t="shared" si="41"/>
        <v>0.05</v>
      </c>
      <c r="L74" s="47">
        <f t="shared" si="51"/>
        <v>0.82294850537622566</v>
      </c>
      <c r="M74" s="47">
        <f t="shared" si="52"/>
        <v>0.80681226017277008</v>
      </c>
      <c r="N74" s="4"/>
      <c r="O74" s="98">
        <v>1</v>
      </c>
      <c r="P74" s="94">
        <f t="shared" si="42"/>
        <v>0.05</v>
      </c>
      <c r="Q74" s="154">
        <f t="shared" si="53"/>
        <v>0.82294850537622566</v>
      </c>
      <c r="R74" s="154">
        <f t="shared" si="54"/>
        <v>0.80681226017277008</v>
      </c>
      <c r="S74" s="51"/>
      <c r="T74" s="137">
        <v>0.20709640104961757</v>
      </c>
      <c r="U74" s="135">
        <f t="shared" si="55"/>
        <v>0.20709640104961757</v>
      </c>
      <c r="W74" s="63">
        <f t="shared" si="43"/>
        <v>0</v>
      </c>
      <c r="X74" s="63">
        <f t="shared" si="56"/>
        <v>218160</v>
      </c>
      <c r="Y74" s="63">
        <f t="shared" si="57"/>
        <v>-54000.000000000007</v>
      </c>
      <c r="Z74" s="63">
        <v>0</v>
      </c>
      <c r="AA74" s="63">
        <f t="shared" ca="1" si="44"/>
        <v>330458.47741764889</v>
      </c>
      <c r="AB74" s="64">
        <f t="shared" ca="1" si="33"/>
        <v>494618.47741764889</v>
      </c>
      <c r="AC74" s="51"/>
      <c r="AD74" s="51">
        <f t="shared" si="34"/>
        <v>0</v>
      </c>
      <c r="AE74" s="64">
        <f t="shared" si="45"/>
        <v>213882.35294117642</v>
      </c>
      <c r="AF74" s="64">
        <f t="shared" si="46"/>
        <v>-52941.176470588231</v>
      </c>
      <c r="AG74" s="51">
        <f t="shared" si="35"/>
        <v>0</v>
      </c>
      <c r="AH74" s="64">
        <f t="shared" ca="1" si="47"/>
        <v>323978.89942906745</v>
      </c>
      <c r="AI74" s="64">
        <f t="shared" ca="1" si="36"/>
        <v>484920.07589965564</v>
      </c>
      <c r="AJ74" s="57"/>
      <c r="AK74" s="51">
        <f ca="1">SUM(AD74:AD$90,AG74:AG$90)/D74+SUM(AE75:AF$91,AH75:AH$90)/D74</f>
        <v>2595003.4333963483</v>
      </c>
      <c r="AL74" s="51">
        <f>SUM(AE75:$AF$91)*$G$14/D74</f>
        <v>61511.358295725076</v>
      </c>
      <c r="AM74" s="51"/>
      <c r="AN74" s="51">
        <f ca="1">-SUM(AD74:$AD$91,AH74:$AH$91)/D74</f>
        <v>-875083.30095649383</v>
      </c>
      <c r="AO74" s="51">
        <f ca="1">-SUM(W74:$W$91,AA74:$AA$91)</f>
        <v>-894010.11118535581</v>
      </c>
      <c r="AQ74" s="9">
        <f t="shared" ca="1" si="37"/>
        <v>-872157.3775551822</v>
      </c>
      <c r="AR74" s="9">
        <f t="shared" si="38"/>
        <v>-21937.939210042154</v>
      </c>
      <c r="AS74" s="9">
        <f t="shared" ca="1" si="39"/>
        <v>1253550.0372973424</v>
      </c>
    </row>
    <row r="75" spans="1:45" outlineLevel="1" x14ac:dyDescent="0.55000000000000004">
      <c r="A75" s="9"/>
      <c r="B75" s="1" t="s">
        <v>15</v>
      </c>
      <c r="C75" s="3">
        <v>5</v>
      </c>
      <c r="D75" s="87">
        <f t="shared" si="48"/>
        <v>0.97555056615670888</v>
      </c>
      <c r="E75" s="4"/>
      <c r="F75" s="84">
        <f t="shared" si="40"/>
        <v>0.75659328720254071</v>
      </c>
      <c r="G75" s="84">
        <f t="shared" si="49"/>
        <v>0.77829664360127038</v>
      </c>
      <c r="H75" s="153">
        <f t="shared" si="50"/>
        <v>0.73809500968080399</v>
      </c>
      <c r="I75" s="4"/>
      <c r="J75" s="98">
        <v>1</v>
      </c>
      <c r="K75" s="94">
        <f t="shared" si="41"/>
        <v>0.05</v>
      </c>
      <c r="L75" s="47">
        <f t="shared" si="51"/>
        <v>0.77829664360127038</v>
      </c>
      <c r="M75" s="47">
        <f t="shared" si="52"/>
        <v>0.75926773130308556</v>
      </c>
      <c r="N75" s="4"/>
      <c r="O75" s="98">
        <v>1</v>
      </c>
      <c r="P75" s="94">
        <f t="shared" si="42"/>
        <v>0.05</v>
      </c>
      <c r="Q75" s="154">
        <f t="shared" si="53"/>
        <v>0.77829664360127038</v>
      </c>
      <c r="R75" s="154">
        <f t="shared" si="54"/>
        <v>0.75926773130308556</v>
      </c>
      <c r="S75" s="51"/>
      <c r="T75" s="137">
        <v>8.3175297485096111E-2</v>
      </c>
      <c r="U75" s="135">
        <f t="shared" si="55"/>
        <v>8.3175297485096111E-2</v>
      </c>
      <c r="W75" s="63">
        <f t="shared" si="43"/>
        <v>0</v>
      </c>
      <c r="X75" s="63">
        <f t="shared" si="56"/>
        <v>206836.87382195049</v>
      </c>
      <c r="Y75" s="63">
        <f t="shared" si="57"/>
        <v>-51070.046886171498</v>
      </c>
      <c r="Z75" s="63">
        <v>0</v>
      </c>
      <c r="AA75" s="63">
        <f t="shared" ca="1" si="44"/>
        <v>292995.31138285052</v>
      </c>
      <c r="AB75" s="64">
        <f t="shared" ca="1" si="33"/>
        <v>448762.13831862947</v>
      </c>
      <c r="AC75" s="51"/>
      <c r="AD75" s="51">
        <f t="shared" si="34"/>
        <v>0</v>
      </c>
      <c r="AE75" s="64">
        <f t="shared" si="45"/>
        <v>201779.82935908757</v>
      </c>
      <c r="AF75" s="64">
        <f t="shared" si="46"/>
        <v>-49821.413153454276</v>
      </c>
      <c r="AG75" s="51">
        <f t="shared" si="35"/>
        <v>0</v>
      </c>
      <c r="AH75" s="64">
        <f t="shared" ca="1" si="47"/>
        <v>285831.74190080102</v>
      </c>
      <c r="AI75" s="64">
        <f t="shared" ca="1" si="36"/>
        <v>437790.15810643428</v>
      </c>
      <c r="AJ75" s="57"/>
      <c r="AK75" s="51">
        <f ca="1">SUM(AD75:AD$90,AG75:AG$90)/D75+SUM(AE76:AF$91,AH76:AH$90)/D75</f>
        <v>2159120.1195498933</v>
      </c>
      <c r="AL75" s="51">
        <f>SUM(AE76:$AF$91)*$G$14/D75</f>
        <v>57143.630149848221</v>
      </c>
      <c r="AM75" s="51"/>
      <c r="AN75" s="51">
        <f ca="1">-SUM(AD75:$AD$91,AH75:$AH$91)/D75</f>
        <v>-547327.75927113637</v>
      </c>
      <c r="AO75" s="51">
        <f ca="1">-SUM(W75:$W$91,AA75:$AA$91)</f>
        <v>-563551.63376770704</v>
      </c>
      <c r="AQ75" s="9">
        <f t="shared" ca="1" si="37"/>
        <v>-876485.83494105376</v>
      </c>
      <c r="AR75" s="9">
        <f t="shared" si="38"/>
        <v>-18931.479162483098</v>
      </c>
      <c r="AS75" s="9">
        <f t="shared" ca="1" si="39"/>
        <v>1259771.3203560361</v>
      </c>
    </row>
    <row r="76" spans="1:45" outlineLevel="1" x14ac:dyDescent="0.55000000000000004">
      <c r="A76" s="9"/>
      <c r="B76" s="1" t="s">
        <v>16</v>
      </c>
      <c r="C76" s="3">
        <v>6</v>
      </c>
      <c r="D76" s="87">
        <f t="shared" si="48"/>
        <v>0.9707328852712489</v>
      </c>
      <c r="E76" s="4"/>
      <c r="F76" s="84">
        <f t="shared" si="40"/>
        <v>0.71554175279993271</v>
      </c>
      <c r="G76" s="84">
        <f t="shared" si="49"/>
        <v>0.73606752000123676</v>
      </c>
      <c r="H76" s="153">
        <f t="shared" si="50"/>
        <v>0.69459991022752543</v>
      </c>
      <c r="I76" s="4"/>
      <c r="J76" s="98">
        <v>1</v>
      </c>
      <c r="K76" s="94">
        <f t="shared" si="41"/>
        <v>0.05</v>
      </c>
      <c r="L76" s="47">
        <f t="shared" si="51"/>
        <v>0.73606752000123676</v>
      </c>
      <c r="M76" s="47">
        <f t="shared" si="52"/>
        <v>0.7145249474452533</v>
      </c>
      <c r="N76" s="4"/>
      <c r="O76" s="98">
        <v>1</v>
      </c>
      <c r="P76" s="94">
        <f t="shared" si="42"/>
        <v>0.05</v>
      </c>
      <c r="Q76" s="154">
        <f t="shared" si="53"/>
        <v>0.73606752000123676</v>
      </c>
      <c r="R76" s="154">
        <f t="shared" si="54"/>
        <v>0.7145249474452533</v>
      </c>
      <c r="S76" s="51"/>
      <c r="T76" s="137">
        <v>5.1890782453176132E-2</v>
      </c>
      <c r="U76" s="135">
        <f t="shared" si="55"/>
        <v>5.1890782453176132E-2</v>
      </c>
      <c r="W76" s="63">
        <f t="shared" si="43"/>
        <v>0</v>
      </c>
      <c r="X76" s="63">
        <f t="shared" si="56"/>
        <v>196101.45018535687</v>
      </c>
      <c r="Y76" s="63">
        <f t="shared" si="57"/>
        <v>-48299.068313995464</v>
      </c>
      <c r="Z76" s="63">
        <v>0</v>
      </c>
      <c r="AA76" s="63">
        <f t="shared" ca="1" si="44"/>
        <v>258624.6667364304</v>
      </c>
      <c r="AB76" s="64">
        <f t="shared" ca="1" si="33"/>
        <v>406427.04860779177</v>
      </c>
      <c r="AC76" s="51"/>
      <c r="AD76" s="51">
        <f t="shared" si="34"/>
        <v>0</v>
      </c>
      <c r="AE76" s="64">
        <f t="shared" si="45"/>
        <v>190362.12654430757</v>
      </c>
      <c r="AF76" s="64">
        <f t="shared" si="46"/>
        <v>-46885.49394035797</v>
      </c>
      <c r="AG76" s="51">
        <f t="shared" si="35"/>
        <v>0</v>
      </c>
      <c r="AH76" s="64">
        <f t="shared" ca="1" si="47"/>
        <v>251055.46894337027</v>
      </c>
      <c r="AI76" s="64">
        <f t="shared" ca="1" si="36"/>
        <v>394532.10154731991</v>
      </c>
      <c r="AJ76" s="57"/>
      <c r="AK76" s="51">
        <f ca="1">SUM(AD76:AD$90,AG76:AG$90)/D76+SUM(AE77:AF$91,AH77:AH$90)/D76</f>
        <v>1763408.6363537551</v>
      </c>
      <c r="AL76" s="51">
        <f>SUM(AE77:$AF$91)*$G$14/D76</f>
        <v>52993.158619985537</v>
      </c>
      <c r="AM76" s="51"/>
      <c r="AN76" s="51">
        <f ca="1">-SUM(AD76:$AD$91,AH76:$AH$91)/D76</f>
        <v>-255594.68242400099</v>
      </c>
      <c r="AO76" s="51">
        <f ca="1">-SUM(W76:$W$91,AA76:$AA$91)</f>
        <v>-270556.32238485647</v>
      </c>
      <c r="AQ76" s="9">
        <f t="shared" ca="1" si="37"/>
        <v>-880835.77416474954</v>
      </c>
      <c r="AR76" s="9">
        <f t="shared" si="38"/>
        <v>-16069.387160718819</v>
      </c>
      <c r="AS76" s="9">
        <f t="shared" ca="1" si="39"/>
        <v>1266023.4792168476</v>
      </c>
    </row>
    <row r="77" spans="1:45" outlineLevel="1" x14ac:dyDescent="0.55000000000000004">
      <c r="A77" s="9"/>
      <c r="B77" s="1" t="s">
        <v>17</v>
      </c>
      <c r="C77" s="3">
        <v>7</v>
      </c>
      <c r="D77" s="87">
        <f t="shared" si="48"/>
        <v>0.96593899612956868</v>
      </c>
      <c r="E77" s="4"/>
      <c r="F77" s="84">
        <f t="shared" si="40"/>
        <v>0.83161897782507621</v>
      </c>
      <c r="G77" s="84">
        <f t="shared" si="49"/>
        <v>0.7735803653125044</v>
      </c>
      <c r="H77" s="153">
        <f t="shared" si="50"/>
        <v>0.80329320060265219</v>
      </c>
      <c r="I77" s="4"/>
      <c r="J77" s="98">
        <v>1</v>
      </c>
      <c r="K77" s="94">
        <f t="shared" si="41"/>
        <v>0.05</v>
      </c>
      <c r="L77" s="47">
        <f t="shared" si="51"/>
        <v>0.7735803653125044</v>
      </c>
      <c r="M77" s="47">
        <f t="shared" si="52"/>
        <v>0.74723144149550547</v>
      </c>
      <c r="N77" s="4"/>
      <c r="O77" s="98">
        <v>1</v>
      </c>
      <c r="P77" s="94">
        <f t="shared" si="42"/>
        <v>0.05</v>
      </c>
      <c r="Q77" s="154">
        <f t="shared" si="53"/>
        <v>0.7735803653125044</v>
      </c>
      <c r="R77" s="154">
        <f t="shared" si="54"/>
        <v>0.74723144149550547</v>
      </c>
      <c r="S77" s="51"/>
      <c r="T77" s="137">
        <v>2.7830892374108518E-2</v>
      </c>
      <c r="U77" s="135">
        <f t="shared" si="55"/>
        <v>2.7830892374108518E-2</v>
      </c>
      <c r="W77" s="63">
        <f t="shared" si="43"/>
        <v>0</v>
      </c>
      <c r="X77" s="63">
        <f t="shared" si="56"/>
        <v>190164.95533158066</v>
      </c>
      <c r="Y77" s="63">
        <f t="shared" si="57"/>
        <v>-37422.854002128435</v>
      </c>
      <c r="Z77" s="63">
        <v>0</v>
      </c>
      <c r="AA77" s="63">
        <f t="shared" ca="1" si="44"/>
        <v>-679051.76639708946</v>
      </c>
      <c r="AB77" s="64">
        <f t="shared" ca="1" si="33"/>
        <v>-526309.66506763722</v>
      </c>
      <c r="AC77" s="51"/>
      <c r="AD77" s="51">
        <f t="shared" si="34"/>
        <v>0</v>
      </c>
      <c r="AE77" s="64">
        <f t="shared" si="45"/>
        <v>183687.74605201129</v>
      </c>
      <c r="AF77" s="64">
        <f t="shared" si="46"/>
        <v>-36148.194027119353</v>
      </c>
      <c r="AG77" s="51">
        <f t="shared" si="35"/>
        <v>0</v>
      </c>
      <c r="AH77" s="64">
        <f t="shared" ca="1" si="47"/>
        <v>-655922.58155361493</v>
      </c>
      <c r="AI77" s="64">
        <f t="shared" ca="1" si="36"/>
        <v>-508383.02952872298</v>
      </c>
      <c r="AJ77" s="57"/>
      <c r="AK77" s="51">
        <f ca="1">SUM(AD77:AD$90,AG77:AG$90)/D77+SUM(AE78:AF$91,AH78:AH$90)/D77</f>
        <v>2298469.9778192132</v>
      </c>
      <c r="AL77" s="51">
        <f>SUM(AE78:$AF$91)*$G$14/D77</f>
        <v>48673.897000180907</v>
      </c>
      <c r="AM77" s="51"/>
      <c r="AN77" s="51">
        <f ca="1">-SUM(AD77:$AD$91,AH77:$AH$91)/D77</f>
        <v>3045.0219172399111</v>
      </c>
      <c r="AO77" s="51">
        <f ca="1">-SUM(W77:$W$91,AA77:$AA$91)</f>
        <v>-11931.655648426109</v>
      </c>
      <c r="AQ77" s="9">
        <f t="shared" ca="1" si="37"/>
        <v>8468.393858208321</v>
      </c>
      <c r="AR77" s="9">
        <f t="shared" si="38"/>
        <v>-13719.162115924533</v>
      </c>
      <c r="AS77" s="9">
        <f t="shared" ca="1" si="39"/>
        <v>1272306.6671142702</v>
      </c>
    </row>
    <row r="78" spans="1:45" outlineLevel="1" x14ac:dyDescent="0.55000000000000004">
      <c r="A78" s="9"/>
      <c r="B78" s="1" t="s">
        <v>18</v>
      </c>
      <c r="C78" s="3">
        <v>8</v>
      </c>
      <c r="D78" s="87">
        <f t="shared" si="48"/>
        <v>0.96116878123798488</v>
      </c>
      <c r="E78" s="4"/>
      <c r="F78" s="84">
        <f t="shared" si="40"/>
        <v>0.81</v>
      </c>
      <c r="G78" s="84">
        <f t="shared" si="49"/>
        <v>0.82080948891253813</v>
      </c>
      <c r="H78" s="153">
        <f t="shared" si="50"/>
        <v>0.77854671280276777</v>
      </c>
      <c r="I78" s="4"/>
      <c r="J78" s="98">
        <v>1</v>
      </c>
      <c r="K78" s="94">
        <f t="shared" si="41"/>
        <v>0.05</v>
      </c>
      <c r="L78" s="47">
        <f t="shared" si="51"/>
        <v>0.82080948891253813</v>
      </c>
      <c r="M78" s="47">
        <f t="shared" si="52"/>
        <v>0.78893645608663754</v>
      </c>
      <c r="N78" s="4"/>
      <c r="O78" s="98">
        <v>1</v>
      </c>
      <c r="P78" s="94">
        <f t="shared" si="42"/>
        <v>0.05</v>
      </c>
      <c r="Q78" s="154">
        <f t="shared" si="53"/>
        <v>0.82080948891253813</v>
      </c>
      <c r="R78" s="154">
        <f t="shared" si="54"/>
        <v>0.78893645608663754</v>
      </c>
      <c r="S78" s="51"/>
      <c r="T78" s="137">
        <v>1.5225286106495761E-2</v>
      </c>
      <c r="U78" s="135">
        <f t="shared" si="55"/>
        <v>1.5225286106495761E-2</v>
      </c>
      <c r="W78" s="63">
        <f t="shared" si="43"/>
        <v>0</v>
      </c>
      <c r="X78" s="63">
        <f t="shared" si="56"/>
        <v>185452.47280464222</v>
      </c>
      <c r="Y78" s="63">
        <f t="shared" si="57"/>
        <v>-36450.000000000007</v>
      </c>
      <c r="Z78" s="63">
        <v>0</v>
      </c>
      <c r="AA78" s="63">
        <f t="shared" ca="1" si="44"/>
        <v>116742.48025541125</v>
      </c>
      <c r="AB78" s="64">
        <f t="shared" ca="1" si="33"/>
        <v>265744.95306005346</v>
      </c>
      <c r="AC78" s="51"/>
      <c r="AD78" s="51">
        <f t="shared" si="34"/>
        <v>0</v>
      </c>
      <c r="AE78" s="64">
        <f t="shared" si="45"/>
        <v>178251.1272632085</v>
      </c>
      <c r="AF78" s="64">
        <f t="shared" si="46"/>
        <v>-35034.602076124553</v>
      </c>
      <c r="AG78" s="51">
        <f t="shared" si="35"/>
        <v>0</v>
      </c>
      <c r="AH78" s="64">
        <f t="shared" ca="1" si="47"/>
        <v>112209.22746579316</v>
      </c>
      <c r="AI78" s="64">
        <f t="shared" ca="1" si="36"/>
        <v>255425.75265287713</v>
      </c>
      <c r="AJ78" s="57"/>
      <c r="AK78" s="51">
        <f ca="1">SUM(AD78:AD$90,AG78:AG$90)/D78+SUM(AE79:AF$91,AH79:AH$90)/D78</f>
        <v>2044132.1739821392</v>
      </c>
      <c r="AL78" s="51">
        <f>SUM(AE79:$AF$91)*$G$14/D78</f>
        <v>44445.388036254699</v>
      </c>
      <c r="AM78" s="51"/>
      <c r="AN78" s="51">
        <f ca="1">-SUM(AD78:$AD$91,AH78:$AH$91)/D78</f>
        <v>-679361.71969572722</v>
      </c>
      <c r="AO78" s="51">
        <f ca="1">-SUM(W78:$W$91,AA78:$AA$91)</f>
        <v>-690983.42204551562</v>
      </c>
      <c r="AQ78" s="9">
        <f t="shared" ca="1" si="37"/>
        <v>74113.835307996953</v>
      </c>
      <c r="AR78" s="9">
        <f t="shared" si="38"/>
        <v>-11603.659562886816</v>
      </c>
      <c r="AS78" s="9">
        <f t="shared" ca="1" si="39"/>
        <v>367950.75344617397</v>
      </c>
    </row>
    <row r="79" spans="1:45" outlineLevel="1" x14ac:dyDescent="0.55000000000000004">
      <c r="A79" s="9"/>
      <c r="B79" s="1" t="s">
        <v>19</v>
      </c>
      <c r="C79" s="3">
        <v>9</v>
      </c>
      <c r="D79" s="87">
        <f t="shared" si="48"/>
        <v>0.95642212368304769</v>
      </c>
      <c r="E79" s="4"/>
      <c r="F79" s="84">
        <f t="shared" si="40"/>
        <v>0.78894303460449045</v>
      </c>
      <c r="G79" s="84">
        <f t="shared" si="49"/>
        <v>0.7994715173022453</v>
      </c>
      <c r="H79" s="153">
        <f t="shared" si="50"/>
        <v>0.75456257262137494</v>
      </c>
      <c r="I79" s="4"/>
      <c r="J79" s="98">
        <v>1</v>
      </c>
      <c r="K79" s="94">
        <f t="shared" si="41"/>
        <v>0.05</v>
      </c>
      <c r="L79" s="47">
        <f t="shared" si="51"/>
        <v>0.7994715173022453</v>
      </c>
      <c r="M79" s="47">
        <f t="shared" si="52"/>
        <v>0.76463224640232186</v>
      </c>
      <c r="N79" s="4"/>
      <c r="O79" s="98">
        <v>1</v>
      </c>
      <c r="P79" s="94">
        <f t="shared" si="42"/>
        <v>0.05</v>
      </c>
      <c r="Q79" s="154">
        <f t="shared" si="53"/>
        <v>0.7994715173022453</v>
      </c>
      <c r="R79" s="154">
        <f t="shared" si="54"/>
        <v>0.76463224640232186</v>
      </c>
      <c r="S79" s="51"/>
      <c r="T79" s="137">
        <v>1.3868361840445591E-2</v>
      </c>
      <c r="U79" s="135">
        <f t="shared" si="55"/>
        <v>1.3868361840445591E-2</v>
      </c>
      <c r="W79" s="63">
        <f t="shared" si="43"/>
        <v>0</v>
      </c>
      <c r="X79" s="63">
        <f t="shared" si="56"/>
        <v>180856.77042538123</v>
      </c>
      <c r="Y79" s="63">
        <f t="shared" si="57"/>
        <v>-35502.436557202076</v>
      </c>
      <c r="Z79" s="63">
        <v>0</v>
      </c>
      <c r="AA79" s="63">
        <f t="shared" ca="1" si="44"/>
        <v>104231.97870777256</v>
      </c>
      <c r="AB79" s="64">
        <f t="shared" ca="1" si="33"/>
        <v>249586.31257595171</v>
      </c>
      <c r="AC79" s="51"/>
      <c r="AD79" s="51">
        <f t="shared" si="34"/>
        <v>0</v>
      </c>
      <c r="AE79" s="64">
        <f t="shared" si="45"/>
        <v>172975.41645270053</v>
      </c>
      <c r="AF79" s="64">
        <f t="shared" si="46"/>
        <v>-33955.315767961874</v>
      </c>
      <c r="AG79" s="51">
        <f t="shared" si="35"/>
        <v>0</v>
      </c>
      <c r="AH79" s="64">
        <f t="shared" ca="1" si="47"/>
        <v>99689.77043137404</v>
      </c>
      <c r="AI79" s="64">
        <f t="shared" ca="1" si="36"/>
        <v>238709.87111611268</v>
      </c>
      <c r="AJ79" s="57"/>
      <c r="AK79" s="51">
        <f ca="1">SUM(AD79:AD$90,AG79:AG$90)/D79+SUM(AE80:AF$91,AH80:AH$90)/D79</f>
        <v>1804690.7495122454</v>
      </c>
      <c r="AL79" s="51">
        <f>SUM(AE80:$AF$91)*$G$14/D79</f>
        <v>40305.337439777752</v>
      </c>
      <c r="AM79" s="51"/>
      <c r="AN79" s="51">
        <f ca="1">-SUM(AD79:$AD$91,AH79:$AH$91)/D79</f>
        <v>-565411.48022742628</v>
      </c>
      <c r="AO79" s="51">
        <f ca="1">-SUM(W79:$W$91,AA79:$AA$91)</f>
        <v>-574240.94179010426</v>
      </c>
      <c r="AQ79" s="9">
        <f t="shared" ca="1" si="37"/>
        <v>123054.0838424447</v>
      </c>
      <c r="AR79" s="9">
        <f t="shared" si="38"/>
        <v>-9708.4699203816053</v>
      </c>
      <c r="AS79" s="9">
        <f t="shared" ca="1" si="39"/>
        <v>287839.62091712654</v>
      </c>
    </row>
    <row r="80" spans="1:45" outlineLevel="1" x14ac:dyDescent="0.55000000000000004">
      <c r="A80" s="9"/>
      <c r="B80" s="1" t="s">
        <v>20</v>
      </c>
      <c r="C80" s="3">
        <v>10</v>
      </c>
      <c r="D80" s="87">
        <f t="shared" si="48"/>
        <v>0.95169890712867522</v>
      </c>
      <c r="E80" s="4"/>
      <c r="F80" s="84">
        <f t="shared" si="40"/>
        <v>0.76843347142091623</v>
      </c>
      <c r="G80" s="84">
        <f t="shared" si="49"/>
        <v>0.77868825301270328</v>
      </c>
      <c r="H80" s="153">
        <f t="shared" si="50"/>
        <v>0.73131729495238007</v>
      </c>
      <c r="I80" s="4"/>
      <c r="J80" s="98">
        <v>1</v>
      </c>
      <c r="K80" s="94">
        <f t="shared" si="41"/>
        <v>0.05</v>
      </c>
      <c r="L80" s="47">
        <f t="shared" si="51"/>
        <v>0.77868825301270328</v>
      </c>
      <c r="M80" s="47">
        <f t="shared" si="52"/>
        <v>0.74107675938612705</v>
      </c>
      <c r="N80" s="4"/>
      <c r="O80" s="98">
        <v>1</v>
      </c>
      <c r="P80" s="94">
        <f t="shared" si="42"/>
        <v>0.05</v>
      </c>
      <c r="Q80" s="154">
        <f t="shared" si="53"/>
        <v>0.77868825301270328</v>
      </c>
      <c r="R80" s="154">
        <f t="shared" si="54"/>
        <v>0.74107675938612705</v>
      </c>
      <c r="S80" s="51"/>
      <c r="T80" s="137">
        <v>5.0809898881113407E-3</v>
      </c>
      <c r="U80" s="135">
        <f t="shared" si="55"/>
        <v>5.0809898881113407E-3</v>
      </c>
      <c r="W80" s="63">
        <f t="shared" si="43"/>
        <v>0</v>
      </c>
      <c r="X80" s="63">
        <f t="shared" si="56"/>
        <v>176374.95426202953</v>
      </c>
      <c r="Y80" s="63">
        <f t="shared" si="57"/>
        <v>-34579.506213941233</v>
      </c>
      <c r="Z80" s="63">
        <v>0</v>
      </c>
      <c r="AA80" s="63">
        <f t="shared" ca="1" si="44"/>
        <v>92293.034326083987</v>
      </c>
      <c r="AB80" s="64">
        <f t="shared" ca="1" si="33"/>
        <v>234088.48237417228</v>
      </c>
      <c r="AC80" s="51"/>
      <c r="AD80" s="51">
        <f t="shared" si="34"/>
        <v>0</v>
      </c>
      <c r="AE80" s="64">
        <f t="shared" si="45"/>
        <v>167855.85121604358</v>
      </c>
      <c r="AF80" s="64">
        <f t="shared" si="46"/>
        <v>-32909.278272857104</v>
      </c>
      <c r="AG80" s="51">
        <f t="shared" si="35"/>
        <v>0</v>
      </c>
      <c r="AH80" s="64">
        <f t="shared" ca="1" si="47"/>
        <v>87835.179903723445</v>
      </c>
      <c r="AI80" s="64">
        <f t="shared" ca="1" si="36"/>
        <v>222781.75284690992</v>
      </c>
      <c r="AJ80" s="57"/>
      <c r="AK80" s="51">
        <f ca="1">SUM(AD80:AD$90,AG80:AG$90)/D80+SUM(AE81:AF$91,AH81:AH$90)/D80</f>
        <v>1579558.8238386963</v>
      </c>
      <c r="AL80" s="51">
        <f>SUM(AE81:$AF$91)*$G$14/D80</f>
        <v>36251.506630083619</v>
      </c>
      <c r="AM80" s="51"/>
      <c r="AN80" s="51">
        <f ca="1">-SUM(AD80:$AD$91,AH80:$AH$91)/D80</f>
        <v>-463468.30382865999</v>
      </c>
      <c r="AO80" s="51">
        <f ca="1">-SUM(W80:$W$91,AA80:$AA$91)</f>
        <v>-470008.96308233176</v>
      </c>
      <c r="AQ80" s="9">
        <f t="shared" ca="1" si="37"/>
        <v>157172.55141414679</v>
      </c>
      <c r="AR80" s="9">
        <f t="shared" si="38"/>
        <v>-8019.9799787910088</v>
      </c>
      <c r="AS80" s="9">
        <f t="shared" ca="1" si="39"/>
        <v>221273.76026778616</v>
      </c>
    </row>
    <row r="81" spans="1:45" outlineLevel="1" x14ac:dyDescent="0.55000000000000004">
      <c r="A81" s="9"/>
      <c r="B81" s="1" t="s">
        <v>21</v>
      </c>
      <c r="C81" s="3">
        <v>11</v>
      </c>
      <c r="D81" s="87">
        <f t="shared" si="48"/>
        <v>0.94699901581330248</v>
      </c>
      <c r="E81" s="4"/>
      <c r="F81" s="84">
        <f t="shared" si="40"/>
        <v>0.74845708004256861</v>
      </c>
      <c r="G81" s="84">
        <f t="shared" si="49"/>
        <v>0.75844527573174236</v>
      </c>
      <c r="H81" s="153">
        <f t="shared" si="50"/>
        <v>0.7087881181788106</v>
      </c>
      <c r="I81" s="4"/>
      <c r="J81" s="98">
        <v>1</v>
      </c>
      <c r="K81" s="94">
        <f t="shared" si="41"/>
        <v>0.05</v>
      </c>
      <c r="L81" s="47">
        <f t="shared" si="51"/>
        <v>0.75844527573174236</v>
      </c>
      <c r="M81" s="47">
        <f t="shared" si="52"/>
        <v>0.71824692966620884</v>
      </c>
      <c r="N81" s="4"/>
      <c r="O81" s="98">
        <v>1</v>
      </c>
      <c r="P81" s="94">
        <f t="shared" si="42"/>
        <v>0.05</v>
      </c>
      <c r="Q81" s="154">
        <f t="shared" si="53"/>
        <v>0.75844527573174236</v>
      </c>
      <c r="R81" s="154">
        <f t="shared" si="54"/>
        <v>0.71824692966620884</v>
      </c>
      <c r="S81" s="51"/>
      <c r="T81" s="137">
        <v>6.0769058883075608E-3</v>
      </c>
      <c r="U81" s="135">
        <f t="shared" si="55"/>
        <v>6.0769058883075608E-3</v>
      </c>
      <c r="W81" s="63">
        <f t="shared" si="43"/>
        <v>0</v>
      </c>
      <c r="X81" s="63">
        <f t="shared" si="56"/>
        <v>172004.20209741473</v>
      </c>
      <c r="Y81" s="63">
        <f t="shared" si="57"/>
        <v>-33680.568601915591</v>
      </c>
      <c r="Z81" s="63">
        <v>0</v>
      </c>
      <c r="AA81" s="63">
        <f t="shared" ca="1" si="44"/>
        <v>80904.385082307839</v>
      </c>
      <c r="AB81" s="64">
        <f t="shared" ca="1" si="33"/>
        <v>219228.018577807</v>
      </c>
      <c r="AC81" s="51"/>
      <c r="AD81" s="51">
        <f t="shared" si="34"/>
        <v>0</v>
      </c>
      <c r="AE81" s="64">
        <f t="shared" si="45"/>
        <v>162887.81010200412</v>
      </c>
      <c r="AF81" s="64">
        <f t="shared" si="46"/>
        <v>-31895.465318046481</v>
      </c>
      <c r="AG81" s="51">
        <f t="shared" si="35"/>
        <v>0</v>
      </c>
      <c r="AH81" s="64">
        <f t="shared" ca="1" si="47"/>
        <v>76616.373047925954</v>
      </c>
      <c r="AI81" s="64">
        <f t="shared" ca="1" si="36"/>
        <v>207608.71783188358</v>
      </c>
      <c r="AJ81" s="57"/>
      <c r="AK81" s="51">
        <f ca="1">SUM(AD81:AD$90,AG81:AG$90)/D81+SUM(AE82:AF$91,AH82:AH$90)/D81</f>
        <v>1368170.0476194508</v>
      </c>
      <c r="AL81" s="51">
        <f>SUM(AE82:$AF$91)*$G$14/D81</f>
        <v>32281.711372049278</v>
      </c>
      <c r="AM81" s="51"/>
      <c r="AN81" s="51">
        <f ca="1">-SUM(AD81:$AD$91,AH81:$AH$91)/D81</f>
        <v>-373017.38696678274</v>
      </c>
      <c r="AO81" s="51">
        <f ca="1">-SUM(W81:$W$91,AA81:$AA$91)</f>
        <v>-377715.9287562478</v>
      </c>
      <c r="AQ81" s="9">
        <f t="shared" ca="1" si="37"/>
        <v>178198.01211811672</v>
      </c>
      <c r="AR81" s="9">
        <f t="shared" si="38"/>
        <v>-6525.3308223844651</v>
      </c>
      <c r="AS81" s="9">
        <f t="shared" ca="1" si="39"/>
        <v>166604.0318473049</v>
      </c>
    </row>
    <row r="82" spans="1:45" outlineLevel="1" x14ac:dyDescent="0.55000000000000004">
      <c r="A82" s="9"/>
      <c r="B82" s="1" t="s">
        <v>22</v>
      </c>
      <c r="C82" s="3">
        <v>12</v>
      </c>
      <c r="D82" s="87">
        <f t="shared" si="48"/>
        <v>0.94232233454704384</v>
      </c>
      <c r="E82" s="4"/>
      <c r="F82" s="84">
        <f t="shared" si="40"/>
        <v>0.72900000000000009</v>
      </c>
      <c r="G82" s="84">
        <f t="shared" si="49"/>
        <v>0.73872854002128441</v>
      </c>
      <c r="H82" s="153">
        <f t="shared" si="50"/>
        <v>0.68695298188479503</v>
      </c>
      <c r="I82" s="4"/>
      <c r="J82" s="98">
        <v>1</v>
      </c>
      <c r="K82" s="94">
        <f t="shared" si="41"/>
        <v>0.05</v>
      </c>
      <c r="L82" s="47">
        <f t="shared" si="51"/>
        <v>0.73872854002128441</v>
      </c>
      <c r="M82" s="47">
        <f t="shared" si="52"/>
        <v>0.696120402429386</v>
      </c>
      <c r="N82" s="4"/>
      <c r="O82" s="98">
        <v>1</v>
      </c>
      <c r="P82" s="94">
        <f t="shared" si="42"/>
        <v>0.05</v>
      </c>
      <c r="Q82" s="154">
        <f t="shared" si="53"/>
        <v>0.73872854002128441</v>
      </c>
      <c r="R82" s="154">
        <f t="shared" si="54"/>
        <v>0.696120402429386</v>
      </c>
      <c r="S82" s="51"/>
      <c r="T82" s="137">
        <v>6.7969588236102014E-3</v>
      </c>
      <c r="U82" s="135">
        <f t="shared" si="55"/>
        <v>6.7969588236102014E-3</v>
      </c>
      <c r="W82" s="63">
        <f t="shared" si="43"/>
        <v>0</v>
      </c>
      <c r="X82" s="63">
        <f t="shared" si="56"/>
        <v>167741.76165179888</v>
      </c>
      <c r="Y82" s="63">
        <f t="shared" si="57"/>
        <v>-32805</v>
      </c>
      <c r="Z82" s="63">
        <v>0</v>
      </c>
      <c r="AA82" s="63">
        <f t="shared" ca="1" si="44"/>
        <v>70045.488153246682</v>
      </c>
      <c r="AB82" s="64">
        <f t="shared" ca="1" si="33"/>
        <v>204982.24980504555</v>
      </c>
      <c r="AC82" s="51"/>
      <c r="AD82" s="51">
        <f t="shared" si="34"/>
        <v>0</v>
      </c>
      <c r="AE82" s="64">
        <f t="shared" si="45"/>
        <v>158066.80844075693</v>
      </c>
      <c r="AF82" s="64">
        <f t="shared" si="46"/>
        <v>-30912.884184815772</v>
      </c>
      <c r="AG82" s="51">
        <f t="shared" si="35"/>
        <v>0</v>
      </c>
      <c r="AH82" s="64">
        <f t="shared" ca="1" si="47"/>
        <v>66005.42792105471</v>
      </c>
      <c r="AI82" s="64">
        <f t="shared" ca="1" si="36"/>
        <v>193159.35217699586</v>
      </c>
      <c r="AJ82" s="57"/>
      <c r="AK82" s="51">
        <f ca="1">SUM(AD82:AD$90,AG82:AG$90)/D82+SUM(AE83:AF$91,AH83:AH$90)/D82</f>
        <v>1169977.9321412477</v>
      </c>
      <c r="AL82" s="51">
        <f>SUM(AE83:$AF$91)*$G$14/D82</f>
        <v>28393.820447100719</v>
      </c>
      <c r="AM82" s="51"/>
      <c r="AN82" s="51">
        <f ca="1">-SUM(AD82:$AD$91,AH82:$AH$91)/D82</f>
        <v>-293562.73872447078</v>
      </c>
      <c r="AO82" s="51">
        <f ca="1">-SUM(W82:$W$91,AA82:$AA$91)</f>
        <v>-296811.54367393994</v>
      </c>
      <c r="AQ82" s="9">
        <f t="shared" ca="1" si="37"/>
        <v>187715.66986734164</v>
      </c>
      <c r="AR82" s="9">
        <f t="shared" si="38"/>
        <v>-5212.3779303024276</v>
      </c>
      <c r="AS82" s="9">
        <f t="shared" ca="1" si="39"/>
        <v>122322.26877501956</v>
      </c>
    </row>
    <row r="83" spans="1:45" outlineLevel="1" x14ac:dyDescent="0.55000000000000004">
      <c r="A83" s="9"/>
      <c r="B83" s="1" t="s">
        <v>23</v>
      </c>
      <c r="C83" s="3">
        <v>13</v>
      </c>
      <c r="D83" s="87">
        <f t="shared" si="48"/>
        <v>0.93766874870887007</v>
      </c>
      <c r="E83" s="4"/>
      <c r="F83" s="84">
        <f t="shared" ref="F83:F90" si="58">(1-IF(C83&lt;$F$8,$F$19,$G$19))^(C83/4)</f>
        <v>0.71004873114404132</v>
      </c>
      <c r="G83" s="84">
        <f t="shared" ref="G83:G90" si="59">AVERAGE(F82:F83)</f>
        <v>0.71952436557202071</v>
      </c>
      <c r="H83" s="153">
        <f t="shared" ref="H83:H90" si="60">F83*D83</f>
        <v>0.66579050525415417</v>
      </c>
      <c r="I83" s="4"/>
      <c r="J83" s="98">
        <v>1</v>
      </c>
      <c r="K83" s="94">
        <f t="shared" ref="K83:K90" si="61">J83/$J$93</f>
        <v>0.05</v>
      </c>
      <c r="L83" s="47">
        <f t="shared" ref="L83:L90" si="62">J83*G83</f>
        <v>0.71952436557202071</v>
      </c>
      <c r="M83" s="47">
        <f t="shared" ref="M83:M90" si="63">L83*D83</f>
        <v>0.67467551153146021</v>
      </c>
      <c r="N83" s="4"/>
      <c r="O83" s="98">
        <v>1</v>
      </c>
      <c r="P83" s="94">
        <f t="shared" ref="P83:P90" si="64">O83/$O$93</f>
        <v>0.05</v>
      </c>
      <c r="Q83" s="154">
        <f t="shared" ref="Q83:Q90" si="65">O83*G83</f>
        <v>0.71952436557202071</v>
      </c>
      <c r="R83" s="154">
        <f t="shared" ref="R83:R90" si="66">Q83*D83</f>
        <v>0.67467551153146021</v>
      </c>
      <c r="S83" s="51"/>
      <c r="T83" s="137">
        <v>0</v>
      </c>
      <c r="U83" s="135">
        <f t="shared" si="55"/>
        <v>0</v>
      </c>
      <c r="W83" s="63">
        <f t="shared" si="43"/>
        <v>0</v>
      </c>
      <c r="X83" s="63">
        <f t="shared" si="56"/>
        <v>163584.94884975729</v>
      </c>
      <c r="Y83" s="63">
        <f t="shared" si="57"/>
        <v>-31952.19290148186</v>
      </c>
      <c r="Z83" s="63">
        <v>0</v>
      </c>
      <c r="AA83" s="63">
        <f t="shared" ca="1" si="44"/>
        <v>59696.496896270117</v>
      </c>
      <c r="AB83" s="64">
        <f t="shared" ca="1" si="33"/>
        <v>191329.25284454555</v>
      </c>
      <c r="AC83" s="51"/>
      <c r="AD83" s="51">
        <f t="shared" si="34"/>
        <v>0</v>
      </c>
      <c r="AE83" s="64">
        <f t="shared" si="45"/>
        <v>153388.49429555642</v>
      </c>
      <c r="AF83" s="64">
        <f t="shared" si="46"/>
        <v>-29960.572736436938</v>
      </c>
      <c r="AG83" s="51">
        <f t="shared" si="35"/>
        <v>0</v>
      </c>
      <c r="AH83" s="64">
        <f t="shared" ca="1" si="47"/>
        <v>55975.539547028544</v>
      </c>
      <c r="AI83" s="64">
        <f t="shared" ca="1" si="36"/>
        <v>179403.46110614802</v>
      </c>
      <c r="AJ83" s="57"/>
      <c r="AK83" s="51">
        <f ca="1">SUM(AD83:AD$90,AG83:AG$90)/D83+SUM(AE84:AF$91,AH84:AH$90)/D83</f>
        <v>984455.19971607765</v>
      </c>
      <c r="AL83" s="51">
        <f>SUM(AE84:$AF$91)*$G$14/D83</f>
        <v>24585.754356633242</v>
      </c>
      <c r="AM83" s="51"/>
      <c r="AN83" s="51">
        <f ca="1">-SUM(AD83:$AD$91,AH83:$AH$91)/D83</f>
        <v>-224626.55139123969</v>
      </c>
      <c r="AO83" s="51">
        <f ca="1">-SUM(W83:$W$91,AA83:$AA$91)</f>
        <v>-226766.05552069325</v>
      </c>
      <c r="AQ83" s="9">
        <f t="shared" ca="1" si="37"/>
        <v>187177.4888309883</v>
      </c>
      <c r="AR83" s="9">
        <f t="shared" si="38"/>
        <v>-4069.6533445652603</v>
      </c>
      <c r="AS83" s="9">
        <f t="shared" ca="1" si="39"/>
        <v>87050.938469557674</v>
      </c>
    </row>
    <row r="84" spans="1:45" outlineLevel="1" x14ac:dyDescent="0.55000000000000004">
      <c r="A84" s="9"/>
      <c r="B84" s="1" t="s">
        <v>24</v>
      </c>
      <c r="C84" s="3">
        <v>14</v>
      </c>
      <c r="D84" s="87">
        <f t="shared" si="48"/>
        <v>0.93303814424379905</v>
      </c>
      <c r="E84" s="4"/>
      <c r="F84" s="84">
        <f t="shared" si="58"/>
        <v>0.6915901242788246</v>
      </c>
      <c r="G84" s="84">
        <f t="shared" si="59"/>
        <v>0.70081942771143302</v>
      </c>
      <c r="H84" s="153">
        <f t="shared" si="60"/>
        <v>0.64527996613445282</v>
      </c>
      <c r="I84" s="4"/>
      <c r="J84" s="98">
        <v>1</v>
      </c>
      <c r="K84" s="94">
        <f t="shared" si="61"/>
        <v>0.05</v>
      </c>
      <c r="L84" s="47">
        <f t="shared" si="62"/>
        <v>0.70081942771143302</v>
      </c>
      <c r="M84" s="47">
        <f t="shared" si="63"/>
        <v>0.65389125828187677</v>
      </c>
      <c r="N84" s="4"/>
      <c r="O84" s="98">
        <v>1</v>
      </c>
      <c r="P84" s="94">
        <f t="shared" si="64"/>
        <v>0.05</v>
      </c>
      <c r="Q84" s="154">
        <f t="shared" si="65"/>
        <v>0.70081942771143302</v>
      </c>
      <c r="R84" s="154">
        <f t="shared" si="66"/>
        <v>0.65389125828187677</v>
      </c>
      <c r="S84" s="51"/>
      <c r="T84" s="137">
        <v>0</v>
      </c>
      <c r="U84" s="135">
        <f t="shared" si="55"/>
        <v>0</v>
      </c>
      <c r="W84" s="63">
        <f t="shared" si="43"/>
        <v>0</v>
      </c>
      <c r="X84" s="63">
        <f t="shared" si="56"/>
        <v>159531.14613000565</v>
      </c>
      <c r="Y84" s="63">
        <f t="shared" si="57"/>
        <v>-31121.555592547105</v>
      </c>
      <c r="Z84" s="63">
        <v>0</v>
      </c>
      <c r="AA84" s="63">
        <f t="shared" ca="1" si="44"/>
        <v>49838.23853608514</v>
      </c>
      <c r="AB84" s="64">
        <f t="shared" ca="1" si="33"/>
        <v>178247.82907354369</v>
      </c>
      <c r="AC84" s="51"/>
      <c r="AD84" s="51">
        <f t="shared" si="34"/>
        <v>0</v>
      </c>
      <c r="AE84" s="64">
        <f t="shared" si="45"/>
        <v>148848.6445342268</v>
      </c>
      <c r="AF84" s="64">
        <f t="shared" si="46"/>
        <v>-29037.598476050378</v>
      </c>
      <c r="AG84" s="51">
        <f t="shared" si="35"/>
        <v>0</v>
      </c>
      <c r="AH84" s="64">
        <f t="shared" ca="1" si="47"/>
        <v>46500.977596088669</v>
      </c>
      <c r="AI84" s="64">
        <f t="shared" ca="1" si="36"/>
        <v>166312.0236542651</v>
      </c>
      <c r="AJ84" s="57"/>
      <c r="AK84" s="51">
        <f ca="1">SUM(AD84:AD$90,AG84:AG$90)/D84+SUM(AE85:AF$91,AH85:AH$90)/D84</f>
        <v>811093.15443560958</v>
      </c>
      <c r="AL84" s="51">
        <f>SUM(AE85:$AF$91)*$G$14/D84</f>
        <v>20855.48405705706</v>
      </c>
      <c r="AM84" s="51"/>
      <c r="AN84" s="51">
        <f ca="1">-SUM(AD84:$AD$91,AH84:$AH$91)/D84</f>
        <v>-165748.59106979283</v>
      </c>
      <c r="AO84" s="51">
        <f ca="1">-SUM(W84:$W$91,AA84:$AA$91)</f>
        <v>-167069.55862442317</v>
      </c>
      <c r="AQ84" s="9">
        <f t="shared" ca="1" si="37"/>
        <v>177911.83372711937</v>
      </c>
      <c r="AR84" s="9">
        <f t="shared" si="38"/>
        <v>-3086.3297991219588</v>
      </c>
      <c r="AS84" s="9">
        <f t="shared" ca="1" si="39"/>
        <v>59533.503962823481</v>
      </c>
    </row>
    <row r="85" spans="1:45" outlineLevel="1" x14ac:dyDescent="0.55000000000000004">
      <c r="A85" s="9"/>
      <c r="B85" s="1" t="s">
        <v>25</v>
      </c>
      <c r="C85" s="3">
        <v>15</v>
      </c>
      <c r="D85" s="87">
        <f t="shared" si="48"/>
        <v>0.92843040766010021</v>
      </c>
      <c r="E85" s="4"/>
      <c r="F85" s="84">
        <f t="shared" si="58"/>
        <v>0.67361137203831178</v>
      </c>
      <c r="G85" s="84">
        <f t="shared" si="59"/>
        <v>0.68260074815856819</v>
      </c>
      <c r="H85" s="153">
        <f t="shared" si="60"/>
        <v>0.6254012807460092</v>
      </c>
      <c r="I85" s="4"/>
      <c r="J85" s="98">
        <v>1</v>
      </c>
      <c r="K85" s="94">
        <f t="shared" si="61"/>
        <v>0.05</v>
      </c>
      <c r="L85" s="47">
        <f t="shared" si="62"/>
        <v>0.68260074815856819</v>
      </c>
      <c r="M85" s="47">
        <f t="shared" si="63"/>
        <v>0.63374729088194881</v>
      </c>
      <c r="N85" s="4"/>
      <c r="O85" s="98">
        <v>1</v>
      </c>
      <c r="P85" s="94">
        <f t="shared" si="64"/>
        <v>0.05</v>
      </c>
      <c r="Q85" s="154">
        <f t="shared" si="65"/>
        <v>0.68260074815856819</v>
      </c>
      <c r="R85" s="154">
        <f t="shared" si="66"/>
        <v>0.63374729088194881</v>
      </c>
      <c r="S85" s="51"/>
      <c r="T85" s="137">
        <v>0</v>
      </c>
      <c r="U85" s="135">
        <f t="shared" si="55"/>
        <v>0</v>
      </c>
      <c r="W85" s="63">
        <f t="shared" si="43"/>
        <v>0</v>
      </c>
      <c r="X85" s="63">
        <f t="shared" si="56"/>
        <v>155577.80079711159</v>
      </c>
      <c r="Y85" s="63">
        <f t="shared" si="57"/>
        <v>-30312.511741724029</v>
      </c>
      <c r="Z85" s="63">
        <v>0</v>
      </c>
      <c r="AA85" s="63">
        <f t="shared" ca="1" si="44"/>
        <v>40452.19254115384</v>
      </c>
      <c r="AB85" s="64">
        <f t="shared" ca="1" si="33"/>
        <v>165717.48159654142</v>
      </c>
      <c r="AC85" s="51"/>
      <c r="AD85" s="51">
        <f t="shared" si="34"/>
        <v>0</v>
      </c>
      <c r="AE85" s="64">
        <f t="shared" si="45"/>
        <v>144443.16101692416</v>
      </c>
      <c r="AF85" s="64">
        <f t="shared" si="46"/>
        <v>-28143.057633570414</v>
      </c>
      <c r="AG85" s="51">
        <f t="shared" si="35"/>
        <v>0</v>
      </c>
      <c r="AH85" s="64">
        <f t="shared" ca="1" si="47"/>
        <v>37557.045611728325</v>
      </c>
      <c r="AI85" s="64">
        <f t="shared" ca="1" si="36"/>
        <v>153857.14899508207</v>
      </c>
      <c r="AJ85" s="57"/>
      <c r="AK85" s="51">
        <f ca="1">SUM(AD85:AD$90,AG85:AG$90)/D85+SUM(AE86:AF$91,AH86:AH$90)/D85</f>
        <v>649401.07266402629</v>
      </c>
      <c r="AL85" s="51">
        <f>SUM(AE86:$AF$91)*$G$14/D85</f>
        <v>17201.029725696651</v>
      </c>
      <c r="AM85" s="51"/>
      <c r="AN85" s="51">
        <f ca="1">-SUM(AD85:$AD$91,AH85:$AH$91)/D85</f>
        <v>-116485.60768195844</v>
      </c>
      <c r="AO85" s="51">
        <f ca="1">-SUM(W85:$W$91,AA85:$AA$91)</f>
        <v>-117231.32008833799</v>
      </c>
      <c r="AQ85" s="9">
        <f t="shared" ca="1" si="37"/>
        <v>161132.46413312003</v>
      </c>
      <c r="AR85" s="9">
        <f t="shared" si="38"/>
        <v>-2252.1867093583787</v>
      </c>
      <c r="AS85" s="9">
        <f t="shared" ca="1" si="39"/>
        <v>38625.439792926394</v>
      </c>
    </row>
    <row r="86" spans="1:45" outlineLevel="1" x14ac:dyDescent="0.55000000000000004">
      <c r="A86" s="9"/>
      <c r="B86" s="1" t="s">
        <v>26</v>
      </c>
      <c r="C86" s="3">
        <v>16</v>
      </c>
      <c r="D86" s="87">
        <f t="shared" si="48"/>
        <v>0.92384542602651332</v>
      </c>
      <c r="E86" s="4"/>
      <c r="F86" s="84">
        <f t="shared" si="58"/>
        <v>0.65610000000000013</v>
      </c>
      <c r="G86" s="84">
        <f t="shared" si="59"/>
        <v>0.6648556860191559</v>
      </c>
      <c r="H86" s="153">
        <f t="shared" si="60"/>
        <v>0.60613498401599553</v>
      </c>
      <c r="I86" s="4"/>
      <c r="J86" s="98">
        <v>1</v>
      </c>
      <c r="K86" s="94">
        <f t="shared" si="61"/>
        <v>0.05</v>
      </c>
      <c r="L86" s="47">
        <f t="shared" si="62"/>
        <v>0.6648556860191559</v>
      </c>
      <c r="M86" s="47">
        <f t="shared" si="63"/>
        <v>0.61422388449651688</v>
      </c>
      <c r="N86" s="4"/>
      <c r="O86" s="98">
        <v>1</v>
      </c>
      <c r="P86" s="94">
        <f t="shared" si="64"/>
        <v>0.05</v>
      </c>
      <c r="Q86" s="154">
        <f t="shared" si="65"/>
        <v>0.6648556860191559</v>
      </c>
      <c r="R86" s="154">
        <f t="shared" si="66"/>
        <v>0.61422388449651688</v>
      </c>
      <c r="S86" s="51"/>
      <c r="T86" s="137">
        <v>0</v>
      </c>
      <c r="U86" s="135">
        <f t="shared" si="55"/>
        <v>0</v>
      </c>
      <c r="W86" s="63">
        <f t="shared" si="43"/>
        <v>0</v>
      </c>
      <c r="X86" s="63">
        <f t="shared" si="56"/>
        <v>151722.42341405209</v>
      </c>
      <c r="Y86" s="63">
        <f t="shared" si="57"/>
        <v>-29524.500000000007</v>
      </c>
      <c r="Z86" s="63">
        <v>0</v>
      </c>
      <c r="AA86" s="63">
        <f t="shared" ca="1" si="44"/>
        <v>31520.469668960985</v>
      </c>
      <c r="AB86" s="64">
        <f t="shared" ca="1" si="33"/>
        <v>153718.39308301307</v>
      </c>
      <c r="AC86" s="51"/>
      <c r="AD86" s="51">
        <f t="shared" si="34"/>
        <v>0</v>
      </c>
      <c r="AE86" s="64">
        <f t="shared" si="45"/>
        <v>140168.06689672999</v>
      </c>
      <c r="AF86" s="64">
        <f t="shared" si="46"/>
        <v>-27276.0742807198</v>
      </c>
      <c r="AG86" s="51">
        <f t="shared" si="35"/>
        <v>0</v>
      </c>
      <c r="AH86" s="64">
        <f t="shared" ca="1" si="47"/>
        <v>29120.041729877052</v>
      </c>
      <c r="AI86" s="64">
        <f t="shared" ca="1" si="36"/>
        <v>142012.03434588725</v>
      </c>
      <c r="AJ86" s="57"/>
      <c r="AK86" s="51">
        <f ca="1">SUM(AD86:AD$90,AG86:AG$90)/D86+SUM(AE87:AF$91,AH87:AH$90)/D86</f>
        <v>498905.61266821012</v>
      </c>
      <c r="AL86" s="51">
        <f>SUM(AE87:$AF$91)*$G$14/D86</f>
        <v>13620.45955679237</v>
      </c>
      <c r="AM86" s="51"/>
      <c r="AN86" s="51">
        <f ca="1">-SUM(AD86:$AD$91,AH86:$AH$91)/D86</f>
        <v>-76410.763777425425</v>
      </c>
      <c r="AO86" s="51">
        <f ca="1">-SUM(W86:$W$91,AA86:$AA$91)</f>
        <v>-76779.127547184151</v>
      </c>
      <c r="AQ86" s="9">
        <f t="shared" ca="1" si="37"/>
        <v>137946.92422720045</v>
      </c>
      <c r="AR86" s="9">
        <f t="shared" si="38"/>
        <v>-1557.5779266125646</v>
      </c>
      <c r="AS86" s="9">
        <f t="shared" ca="1" si="39"/>
        <v>23285.860104944484</v>
      </c>
    </row>
    <row r="87" spans="1:45" outlineLevel="1" x14ac:dyDescent="0.55000000000000004">
      <c r="A87" s="9"/>
      <c r="B87" s="1" t="s">
        <v>27</v>
      </c>
      <c r="C87" s="3">
        <v>17</v>
      </c>
      <c r="D87" s="87">
        <f t="shared" si="48"/>
        <v>0.91928308696948025</v>
      </c>
      <c r="E87" s="4"/>
      <c r="F87" s="84">
        <f t="shared" si="58"/>
        <v>0.63904385802963726</v>
      </c>
      <c r="G87" s="84">
        <f t="shared" si="59"/>
        <v>0.64757192901481875</v>
      </c>
      <c r="H87" s="153">
        <f t="shared" si="60"/>
        <v>0.58746221051837122</v>
      </c>
      <c r="I87" s="4"/>
      <c r="J87" s="98">
        <v>1</v>
      </c>
      <c r="K87" s="94">
        <f t="shared" si="61"/>
        <v>0.05</v>
      </c>
      <c r="L87" s="47">
        <f t="shared" si="62"/>
        <v>0.64757192901481875</v>
      </c>
      <c r="M87" s="47">
        <f t="shared" si="63"/>
        <v>0.59530192193952369</v>
      </c>
      <c r="N87" s="4"/>
      <c r="O87" s="98">
        <v>1</v>
      </c>
      <c r="P87" s="94">
        <f t="shared" si="64"/>
        <v>0.05</v>
      </c>
      <c r="Q87" s="154">
        <f t="shared" si="65"/>
        <v>0.64757192901481875</v>
      </c>
      <c r="R87" s="154">
        <f t="shared" si="66"/>
        <v>0.59530192193952369</v>
      </c>
      <c r="S87" s="51"/>
      <c r="T87" s="137">
        <v>0</v>
      </c>
      <c r="U87" s="135">
        <f t="shared" si="55"/>
        <v>0</v>
      </c>
      <c r="W87" s="63">
        <f t="shared" si="43"/>
        <v>0</v>
      </c>
      <c r="X87" s="63">
        <f t="shared" si="56"/>
        <v>147962.58623460543</v>
      </c>
      <c r="Y87" s="63">
        <f t="shared" si="57"/>
        <v>-28756.97361133368</v>
      </c>
      <c r="Z87" s="63">
        <v>0</v>
      </c>
      <c r="AA87" s="63">
        <f t="shared" ca="1" si="44"/>
        <v>23025.791659989874</v>
      </c>
      <c r="AB87" s="64">
        <f t="shared" ca="1" si="33"/>
        <v>142231.40428326163</v>
      </c>
      <c r="AC87" s="51"/>
      <c r="AD87" s="51">
        <f t="shared" si="34"/>
        <v>0</v>
      </c>
      <c r="AE87" s="64">
        <f t="shared" si="45"/>
        <v>136019.50302973602</v>
      </c>
      <c r="AF87" s="64">
        <f t="shared" si="46"/>
        <v>-26435.799473326708</v>
      </c>
      <c r="AG87" s="51">
        <f t="shared" si="35"/>
        <v>0</v>
      </c>
      <c r="AH87" s="64">
        <f t="shared" ca="1" si="47"/>
        <v>21167.220837111603</v>
      </c>
      <c r="AI87" s="64">
        <f t="shared" ca="1" si="36"/>
        <v>130750.92439352091</v>
      </c>
      <c r="AJ87" s="57"/>
      <c r="AK87" s="51">
        <f ca="1">SUM(AD87:AD$90,AG87:AG$90)/D87+SUM(AE88:AF$91,AH88:AH$90)/D87</f>
        <v>359150.24280210811</v>
      </c>
      <c r="AL87" s="51">
        <f>SUM(AE88:$AF$91)*$G$14/D87</f>
        <v>10111.888586870165</v>
      </c>
      <c r="AM87" s="51"/>
      <c r="AN87" s="51">
        <f ca="1">-SUM(AD87:$AD$91,AH87:$AH$91)/D87</f>
        <v>-45113.081566425732</v>
      </c>
      <c r="AO87" s="51">
        <f ca="1">-SUM(W87:$W$91,AA87:$AA$91)</f>
        <v>-45258.657878223181</v>
      </c>
      <c r="AQ87" s="9">
        <f t="shared" ca="1" si="37"/>
        <v>109364.36679253881</v>
      </c>
      <c r="AR87" s="9">
        <f t="shared" si="38"/>
        <v>-993.40116711430892</v>
      </c>
      <c r="AS87" s="9">
        <f t="shared" ca="1" si="39"/>
        <v>12569.719249058166</v>
      </c>
    </row>
    <row r="88" spans="1:45" outlineLevel="1" x14ac:dyDescent="0.55000000000000004">
      <c r="A88" s="9"/>
      <c r="B88" s="1" t="s">
        <v>28</v>
      </c>
      <c r="C88" s="3">
        <v>18</v>
      </c>
      <c r="D88" s="87">
        <f t="shared" si="48"/>
        <v>0.91474327867039096</v>
      </c>
      <c r="E88" s="4"/>
      <c r="F88" s="84">
        <f t="shared" si="58"/>
        <v>0.62243111185094213</v>
      </c>
      <c r="G88" s="84">
        <f t="shared" si="59"/>
        <v>0.63073748494028969</v>
      </c>
      <c r="H88" s="153">
        <f t="shared" si="60"/>
        <v>0.56936467600098761</v>
      </c>
      <c r="I88" s="4"/>
      <c r="J88" s="98">
        <v>1</v>
      </c>
      <c r="K88" s="94">
        <f t="shared" si="61"/>
        <v>0.05</v>
      </c>
      <c r="L88" s="47">
        <f t="shared" si="62"/>
        <v>0.63073748494028969</v>
      </c>
      <c r="M88" s="47">
        <f t="shared" si="63"/>
        <v>0.57696287495459697</v>
      </c>
      <c r="N88" s="4"/>
      <c r="O88" s="98">
        <v>1</v>
      </c>
      <c r="P88" s="94">
        <f t="shared" si="64"/>
        <v>0.05</v>
      </c>
      <c r="Q88" s="154">
        <f t="shared" si="65"/>
        <v>0.63073748494028969</v>
      </c>
      <c r="R88" s="154">
        <f t="shared" si="66"/>
        <v>0.57696287495459697</v>
      </c>
      <c r="S88" s="51"/>
      <c r="T88" s="137">
        <v>0</v>
      </c>
      <c r="U88" s="135">
        <f t="shared" si="55"/>
        <v>0</v>
      </c>
      <c r="W88" s="63">
        <f t="shared" si="43"/>
        <v>0</v>
      </c>
      <c r="X88" s="63">
        <f t="shared" si="56"/>
        <v>144295.92167459012</v>
      </c>
      <c r="Y88" s="63">
        <f t="shared" si="57"/>
        <v>-28009.400033292397</v>
      </c>
      <c r="Z88" s="63">
        <v>0</v>
      </c>
      <c r="AA88" s="63">
        <f t="shared" ca="1" si="44"/>
        <v>14951.471560825616</v>
      </c>
      <c r="AB88" s="64">
        <f t="shared" ca="1" si="33"/>
        <v>131237.99320212335</v>
      </c>
      <c r="AC88" s="51"/>
      <c r="AD88" s="51">
        <f t="shared" si="34"/>
        <v>0</v>
      </c>
      <c r="AE88" s="64">
        <f t="shared" si="45"/>
        <v>131993.7244913805</v>
      </c>
      <c r="AF88" s="64">
        <f t="shared" si="46"/>
        <v>-25621.410420044445</v>
      </c>
      <c r="AG88" s="51">
        <f t="shared" si="35"/>
        <v>0</v>
      </c>
      <c r="AH88" s="64">
        <f t="shared" ca="1" si="47"/>
        <v>13676.758116496731</v>
      </c>
      <c r="AI88" s="64">
        <f t="shared" ca="1" si="36"/>
        <v>120049.07218783279</v>
      </c>
      <c r="AJ88" s="57"/>
      <c r="AK88" s="51">
        <f ca="1">SUM(AD88:AD$90,AG88:AG$90)/D88+SUM(AE89:AF$91,AH89:AH$90)/D88</f>
        <v>229694.68767951112</v>
      </c>
      <c r="AL88" s="51">
        <f>SUM(AE89:$AF$91)*$G$14/D88</f>
        <v>6673.4775487637316</v>
      </c>
      <c r="AM88" s="51"/>
      <c r="AN88" s="51">
        <f ca="1">-SUM(AD88:$AD$91,AH88:$AH$91)/D88</f>
        <v>-22196.907614879015</v>
      </c>
      <c r="AO88" s="51">
        <f ca="1">-SUM(W88:$W$91,AA88:$AA$91)</f>
        <v>-22232.866218233306</v>
      </c>
      <c r="AQ88" s="9">
        <f t="shared" ca="1" si="37"/>
        <v>76302.847891750396</v>
      </c>
      <c r="AR88" s="9">
        <f t="shared" si="38"/>
        <v>-551.06902938661278</v>
      </c>
      <c r="AS88" s="9">
        <f t="shared" ca="1" si="39"/>
        <v>5620.5476625965675</v>
      </c>
    </row>
    <row r="89" spans="1:45" outlineLevel="1" x14ac:dyDescent="0.55000000000000004">
      <c r="A89" s="9"/>
      <c r="B89" s="1" t="s">
        <v>29</v>
      </c>
      <c r="C89" s="3">
        <v>19</v>
      </c>
      <c r="D89" s="87">
        <f t="shared" si="48"/>
        <v>0.91022588986284314</v>
      </c>
      <c r="E89" s="4"/>
      <c r="F89" s="84">
        <f t="shared" si="58"/>
        <v>0.60625023483448059</v>
      </c>
      <c r="G89" s="84">
        <f t="shared" si="59"/>
        <v>0.61434067334271136</v>
      </c>
      <c r="H89" s="153">
        <f t="shared" si="60"/>
        <v>0.55182465948177273</v>
      </c>
      <c r="I89" s="4"/>
      <c r="J89" s="98">
        <v>1</v>
      </c>
      <c r="K89" s="94">
        <f t="shared" si="61"/>
        <v>0.05</v>
      </c>
      <c r="L89" s="47">
        <f t="shared" si="62"/>
        <v>0.61434067334271136</v>
      </c>
      <c r="M89" s="47">
        <f t="shared" si="63"/>
        <v>0.55918878607230771</v>
      </c>
      <c r="N89" s="4"/>
      <c r="O89" s="98">
        <v>1</v>
      </c>
      <c r="P89" s="94">
        <f t="shared" si="64"/>
        <v>0.05</v>
      </c>
      <c r="Q89" s="154">
        <f t="shared" si="65"/>
        <v>0.61434067334271136</v>
      </c>
      <c r="R89" s="154">
        <f t="shared" si="66"/>
        <v>0.55918878607230771</v>
      </c>
      <c r="S89" s="51"/>
      <c r="T89" s="137">
        <v>0</v>
      </c>
      <c r="U89" s="135">
        <f t="shared" si="55"/>
        <v>0</v>
      </c>
      <c r="W89" s="63">
        <f t="shared" si="43"/>
        <v>0</v>
      </c>
      <c r="X89" s="63">
        <f t="shared" si="56"/>
        <v>140720.12082098742</v>
      </c>
      <c r="Y89" s="63">
        <f t="shared" si="57"/>
        <v>-27281.260567551628</v>
      </c>
      <c r="Z89" s="63">
        <v>0</v>
      </c>
      <c r="AA89" s="63">
        <f t="shared" ca="1" si="44"/>
        <v>7281.3946574076908</v>
      </c>
      <c r="AB89" s="64">
        <f t="shared" ca="1" si="33"/>
        <v>120720.25491084348</v>
      </c>
      <c r="AC89" s="51"/>
      <c r="AD89" s="51">
        <f t="shared" si="34"/>
        <v>0</v>
      </c>
      <c r="AE89" s="64">
        <f t="shared" si="45"/>
        <v>128087.09719589008</v>
      </c>
      <c r="AF89" s="64">
        <f t="shared" si="46"/>
        <v>-24832.109676679775</v>
      </c>
      <c r="AG89" s="51">
        <f t="shared" si="35"/>
        <v>0</v>
      </c>
      <c r="AH89" s="64">
        <f t="shared" ca="1" si="47"/>
        <v>6627.7139314814676</v>
      </c>
      <c r="AI89" s="64">
        <f t="shared" ca="1" si="36"/>
        <v>109882.70145069178</v>
      </c>
      <c r="AJ89" s="57"/>
      <c r="AK89" s="51">
        <f ca="1">SUM(AD89:AD$90,AG89:AG$90)/D89+SUM(AE90:AF$91,AH90:AH$90)/D89</f>
        <v>110114.39178634949</v>
      </c>
      <c r="AL89" s="51">
        <f>SUM(AE90:$AF$91)*$G$14/D89</f>
        <v>3303.4317535904847</v>
      </c>
      <c r="AM89" s="51"/>
      <c r="AN89" s="51">
        <f ca="1">-SUM(AD89:$AD$91,AH89:$AH$91)/D89</f>
        <v>-7281.3946574076908</v>
      </c>
      <c r="AO89" s="51">
        <f ca="1">-SUM(W89:$W$91,AA89:$AA$91)</f>
        <v>-7281.3946574076908</v>
      </c>
      <c r="AQ89" s="9">
        <f t="shared" ca="1" si="37"/>
        <v>39596.126343874115</v>
      </c>
      <c r="AR89" s="9">
        <f t="shared" si="38"/>
        <v>-222.48151853328409</v>
      </c>
      <c r="AS89" s="9">
        <f t="shared" ca="1" si="39"/>
        <v>1663.6881658049697</v>
      </c>
    </row>
    <row r="90" spans="1:45" outlineLevel="1" x14ac:dyDescent="0.55000000000000004">
      <c r="A90" s="9"/>
      <c r="B90" s="1" t="s">
        <v>30</v>
      </c>
      <c r="C90" s="3">
        <v>20</v>
      </c>
      <c r="D90" s="87">
        <f t="shared" si="48"/>
        <v>0.90573080982991483</v>
      </c>
      <c r="E90" s="4"/>
      <c r="F90" s="84">
        <f t="shared" si="58"/>
        <v>0.59049000000000018</v>
      </c>
      <c r="G90" s="84">
        <f t="shared" si="59"/>
        <v>0.59837011741724044</v>
      </c>
      <c r="H90" s="153">
        <f t="shared" si="60"/>
        <v>0.53482498589646654</v>
      </c>
      <c r="I90" s="4"/>
      <c r="J90" s="98">
        <v>1</v>
      </c>
      <c r="K90" s="94">
        <f t="shared" si="61"/>
        <v>0.05</v>
      </c>
      <c r="L90" s="47">
        <f t="shared" si="62"/>
        <v>0.59837011741724044</v>
      </c>
      <c r="M90" s="47">
        <f t="shared" si="63"/>
        <v>0.54196225102633844</v>
      </c>
      <c r="N90" s="4"/>
      <c r="O90" s="98">
        <v>1</v>
      </c>
      <c r="P90" s="94">
        <f t="shared" si="64"/>
        <v>0.05</v>
      </c>
      <c r="Q90" s="154">
        <f t="shared" si="65"/>
        <v>0.59837011741724044</v>
      </c>
      <c r="R90" s="154">
        <f t="shared" si="66"/>
        <v>0.54196225102633844</v>
      </c>
      <c r="S90" s="51"/>
      <c r="T90" s="137">
        <v>0</v>
      </c>
      <c r="U90" s="135">
        <f t="shared" si="55"/>
        <v>0</v>
      </c>
      <c r="W90" s="63">
        <f t="shared" si="43"/>
        <v>0</v>
      </c>
      <c r="X90" s="63">
        <f t="shared" si="56"/>
        <v>137232.93197801011</v>
      </c>
      <c r="Y90" s="63">
        <f t="shared" si="57"/>
        <v>-26572.050000000007</v>
      </c>
      <c r="Z90" s="63">
        <v>0</v>
      </c>
      <c r="AA90" s="63">
        <f t="shared" ca="1" si="44"/>
        <v>0</v>
      </c>
      <c r="AB90" s="64">
        <f t="shared" ca="1" si="33"/>
        <v>110660.8819780101</v>
      </c>
      <c r="AC90" s="51"/>
      <c r="AD90" s="51">
        <f t="shared" si="34"/>
        <v>0</v>
      </c>
      <c r="AE90" s="64">
        <f t="shared" si="45"/>
        <v>124296.0946157767</v>
      </c>
      <c r="AF90" s="64">
        <f t="shared" si="46"/>
        <v>-24067.124365340995</v>
      </c>
      <c r="AG90" s="51">
        <f t="shared" si="35"/>
        <v>0</v>
      </c>
      <c r="AH90" s="64">
        <f t="shared" ca="1" si="47"/>
        <v>0</v>
      </c>
      <c r="AI90" s="64">
        <f t="shared" ca="1" si="36"/>
        <v>100228.97025043571</v>
      </c>
      <c r="AJ90" s="57"/>
      <c r="AK90" s="51">
        <f ca="1">SUM(AD90:AD$90,AG90:AG$90)/D90+SUM(AE91:AF$91,AH$90:AH91)/D90</f>
        <v>0</v>
      </c>
      <c r="AL90" s="51">
        <f>SUM(AE91:$AF$91)*$G$14/D90</f>
        <v>0</v>
      </c>
      <c r="AM90" s="51"/>
      <c r="AN90" s="51">
        <f ca="1">-SUM(AD90:$AD$91,AH90:$AH$91)/D90</f>
        <v>0</v>
      </c>
      <c r="AO90" s="51">
        <f ca="1">-SUM(W90:$W$91,AA90:$AA$91)</f>
        <v>0</v>
      </c>
      <c r="AQ90" s="9">
        <f t="shared" ca="1" si="37"/>
        <v>0</v>
      </c>
      <c r="AR90" s="9">
        <f t="shared" si="38"/>
        <v>0</v>
      </c>
      <c r="AS90" s="9">
        <f t="shared" ca="1" si="39"/>
        <v>0</v>
      </c>
    </row>
    <row r="91" spans="1:45" outlineLevel="1" x14ac:dyDescent="0.55000000000000004">
      <c r="B91" s="8"/>
      <c r="C91" s="6"/>
      <c r="D91" s="7"/>
      <c r="E91" s="2"/>
      <c r="F91" s="85"/>
      <c r="G91" s="85"/>
      <c r="H91" s="79"/>
      <c r="I91" s="2"/>
      <c r="J91" s="6"/>
      <c r="K91" s="6"/>
      <c r="L91" s="71"/>
      <c r="M91" s="90"/>
      <c r="N91" s="2"/>
      <c r="O91" s="12"/>
      <c r="P91" s="12"/>
      <c r="Q91" s="50"/>
      <c r="R91" s="90"/>
      <c r="S91" s="55"/>
      <c r="T91" s="136"/>
      <c r="U91" s="136"/>
      <c r="W91" s="66"/>
      <c r="X91" s="66"/>
      <c r="Y91" s="66"/>
      <c r="Z91" s="66"/>
      <c r="AA91" s="66"/>
      <c r="AB91" s="66"/>
      <c r="AC91" s="55"/>
      <c r="AD91" s="67"/>
      <c r="AE91" s="68"/>
      <c r="AF91" s="68"/>
      <c r="AG91" s="67"/>
      <c r="AH91" s="67"/>
      <c r="AI91" s="68"/>
      <c r="AJ91" s="57"/>
      <c r="AK91" s="67"/>
      <c r="AL91" s="67"/>
      <c r="AM91" s="51"/>
      <c r="AN91" s="121"/>
      <c r="AO91" s="121"/>
      <c r="AQ91" s="67"/>
      <c r="AR91" s="67"/>
      <c r="AS91" s="67"/>
    </row>
    <row r="92" spans="1:45" outlineLevel="1" x14ac:dyDescent="0.55000000000000004">
      <c r="A92" s="9"/>
      <c r="B92" s="4"/>
      <c r="C92" s="4"/>
      <c r="D92" s="4"/>
      <c r="E92" s="4"/>
      <c r="F92" s="3"/>
      <c r="G92" s="3"/>
      <c r="H92" s="4"/>
      <c r="I92" s="4"/>
      <c r="J92" s="4"/>
      <c r="K92" s="4"/>
      <c r="L92" s="51"/>
      <c r="M92" s="51"/>
      <c r="N92" s="4"/>
      <c r="O92" s="4"/>
      <c r="P92" s="4"/>
      <c r="Q92" s="51"/>
      <c r="R92" s="51"/>
      <c r="S92" s="51"/>
      <c r="T92" s="4"/>
      <c r="U92" s="4"/>
      <c r="W92" s="51"/>
      <c r="X92" s="51"/>
      <c r="Y92" s="51"/>
      <c r="Z92" s="51"/>
      <c r="AA92" s="51"/>
      <c r="AB92" s="51"/>
      <c r="AC92" s="51"/>
      <c r="AD92" s="51"/>
      <c r="AE92" s="51"/>
      <c r="AF92" s="51"/>
      <c r="AG92" s="51"/>
      <c r="AH92" s="51"/>
      <c r="AI92" s="51"/>
      <c r="AJ92" s="57"/>
      <c r="AK92" s="51"/>
      <c r="AL92" s="51"/>
      <c r="AM92" s="51"/>
      <c r="AN92" s="70"/>
      <c r="AO92" s="70"/>
      <c r="AQ92" s="51"/>
      <c r="AR92" s="51"/>
      <c r="AS92" s="51"/>
    </row>
    <row r="93" spans="1:45" outlineLevel="1" x14ac:dyDescent="0.55000000000000004">
      <c r="A93" s="9"/>
      <c r="B93" s="24"/>
      <c r="C93" s="24"/>
      <c r="D93" s="25"/>
      <c r="E93" s="4"/>
      <c r="F93" s="26"/>
      <c r="G93" s="26"/>
      <c r="H93" s="26"/>
      <c r="I93" s="4"/>
      <c r="J93" s="80">
        <f>SUM(J71:J90)</f>
        <v>20</v>
      </c>
      <c r="K93" s="95">
        <f>SUM(K71:K90)</f>
        <v>1.0000000000000002</v>
      </c>
      <c r="L93" s="81">
        <f>SUM(L71:L90)</f>
        <v>15.028973846827309</v>
      </c>
      <c r="M93" s="81">
        <f>SUM(M71:M90)</f>
        <v>14.323222595290144</v>
      </c>
      <c r="N93" s="4"/>
      <c r="O93" s="80">
        <f>SUM(O71:O90)</f>
        <v>20</v>
      </c>
      <c r="P93" s="95">
        <f>SUM(P71:P90)</f>
        <v>1.0000000000000002</v>
      </c>
      <c r="Q93" s="81">
        <f>SUM(Q71:Q90)</f>
        <v>15.028973846827309</v>
      </c>
      <c r="R93" s="81">
        <f>SUM(R71:R90)</f>
        <v>14.323222595290144</v>
      </c>
      <c r="S93" s="52"/>
      <c r="T93" s="80">
        <f>SUM(T71:T90)</f>
        <v>1</v>
      </c>
      <c r="U93" s="95">
        <f>SUM(U71:U90)</f>
        <v>1</v>
      </c>
      <c r="W93" s="52">
        <f t="shared" ref="W93:AB93" si="67">SUM(W70:W90)</f>
        <v>-9000000</v>
      </c>
      <c r="X93" s="52">
        <f t="shared" si="67"/>
        <v>3623110.3670876105</v>
      </c>
      <c r="Y93" s="52">
        <f t="shared" si="67"/>
        <v>-778649.36724928406</v>
      </c>
      <c r="Z93" s="52">
        <f t="shared" si="67"/>
        <v>-900000</v>
      </c>
      <c r="AA93" s="52">
        <f t="shared" ca="1" si="67"/>
        <v>2144822.0189277129</v>
      </c>
      <c r="AB93" s="52">
        <f t="shared" ca="1" si="67"/>
        <v>-4910716.9812339619</v>
      </c>
      <c r="AC93" s="51"/>
      <c r="AD93" s="52">
        <f t="shared" ref="AD93:AI93" si="68">SUM(AD70:AD90)</f>
        <v>-9000000</v>
      </c>
      <c r="AE93" s="52">
        <f t="shared" si="68"/>
        <v>3458735.3134128912</v>
      </c>
      <c r="AF93" s="52">
        <f t="shared" si="68"/>
        <v>-745435.17282996722</v>
      </c>
      <c r="AG93" s="52">
        <f t="shared" si="68"/>
        <v>-900000</v>
      </c>
      <c r="AH93" s="52">
        <f t="shared" ca="1" si="68"/>
        <v>2096877.4533457786</v>
      </c>
      <c r="AI93" s="52">
        <f t="shared" ca="1" si="68"/>
        <v>-5089822.4060712969</v>
      </c>
      <c r="AJ93" s="52"/>
      <c r="AK93" s="52"/>
      <c r="AL93" s="52"/>
      <c r="AM93" s="51"/>
      <c r="AN93" s="70"/>
      <c r="AO93" s="70"/>
      <c r="AQ93" s="52"/>
      <c r="AR93" s="52"/>
      <c r="AS93" s="52"/>
    </row>
    <row r="94" spans="1:45" ht="15.3" x14ac:dyDescent="0.55000000000000004">
      <c r="A94" s="9"/>
      <c r="B94" s="24"/>
      <c r="C94" s="24"/>
      <c r="D94" s="4"/>
      <c r="E94" s="4"/>
      <c r="F94" s="4"/>
      <c r="G94" s="4"/>
      <c r="H94" s="4"/>
      <c r="I94" s="4"/>
      <c r="J94" s="24"/>
      <c r="K94" s="24"/>
      <c r="L94" s="52"/>
      <c r="M94" s="52"/>
      <c r="N94" s="4"/>
      <c r="O94" s="24"/>
      <c r="P94" s="24"/>
      <c r="Q94" s="52"/>
      <c r="R94" s="52"/>
      <c r="S94" s="51"/>
      <c r="W94" s="52"/>
      <c r="X94" s="72"/>
      <c r="Y94" s="72"/>
      <c r="Z94" s="52"/>
      <c r="AA94" s="52"/>
      <c r="AB94" s="52"/>
      <c r="AC94" s="51"/>
      <c r="AD94" s="52"/>
      <c r="AE94" s="73"/>
      <c r="AF94" s="73"/>
      <c r="AG94" s="52"/>
      <c r="AH94" s="52"/>
      <c r="AI94" s="52"/>
      <c r="AJ94" s="57"/>
      <c r="AK94" s="52"/>
      <c r="AL94" s="52"/>
      <c r="AM94" s="52"/>
      <c r="AN94" s="70"/>
      <c r="AO94" s="70"/>
    </row>
    <row r="95" spans="1:45" ht="15.3" x14ac:dyDescent="0.55000000000000004">
      <c r="A95" s="9"/>
      <c r="B95" s="24"/>
      <c r="C95" s="24"/>
      <c r="D95" s="4"/>
      <c r="E95" s="4"/>
      <c r="F95" s="4"/>
      <c r="G95" s="4"/>
      <c r="H95" s="4"/>
      <c r="I95" s="4"/>
      <c r="J95" s="24"/>
      <c r="K95" s="24"/>
      <c r="L95" s="52"/>
      <c r="M95" s="52"/>
      <c r="N95" s="4"/>
      <c r="O95" s="24"/>
      <c r="P95" s="24"/>
      <c r="Q95" s="52"/>
      <c r="R95" s="52"/>
      <c r="S95" s="51"/>
      <c r="W95" s="52"/>
      <c r="X95" s="72"/>
      <c r="Y95" s="72"/>
      <c r="Z95" s="52"/>
      <c r="AA95" s="52"/>
      <c r="AB95" s="52"/>
      <c r="AC95" s="51"/>
      <c r="AD95" s="52"/>
      <c r="AE95" s="73"/>
      <c r="AF95" s="73"/>
      <c r="AG95" s="52"/>
      <c r="AH95" s="52"/>
      <c r="AI95" s="52"/>
      <c r="AJ95" s="57"/>
      <c r="AK95" s="52"/>
      <c r="AL95" s="52"/>
      <c r="AM95" s="52"/>
      <c r="AN95" s="70"/>
      <c r="AO95" s="70"/>
    </row>
    <row r="96" spans="1:45" ht="18.3" x14ac:dyDescent="0.55000000000000004">
      <c r="A96" s="2"/>
      <c r="B96" s="143" t="s">
        <v>166</v>
      </c>
      <c r="C96" s="107"/>
      <c r="D96" s="108"/>
      <c r="H96" s="105"/>
      <c r="J96" s="2"/>
      <c r="K96" s="2"/>
      <c r="N96" s="2"/>
      <c r="O96" s="2"/>
      <c r="P96" s="2"/>
      <c r="Q96" s="2"/>
      <c r="S96" s="2"/>
      <c r="W96" s="55"/>
      <c r="X96" s="55"/>
      <c r="Y96" s="55"/>
      <c r="Z96" s="55"/>
      <c r="AA96" s="55"/>
      <c r="AB96" s="55"/>
      <c r="AC96" s="2"/>
      <c r="AD96" s="22"/>
      <c r="AE96" s="2"/>
      <c r="AF96" s="2"/>
      <c r="AG96" s="2"/>
      <c r="AH96" s="2"/>
      <c r="AI96" s="2"/>
      <c r="AJ96" s="21"/>
      <c r="AK96" s="2"/>
      <c r="AL96" s="2"/>
      <c r="AM96" s="2"/>
      <c r="AN96" s="70"/>
      <c r="AO96" s="70"/>
    </row>
    <row r="97" spans="1:45" outlineLevel="1" x14ac:dyDescent="0.55000000000000004">
      <c r="D97" s="2"/>
      <c r="E97" s="2"/>
      <c r="F97" s="2"/>
      <c r="G97" s="2"/>
      <c r="H97" s="2"/>
      <c r="I97" s="2"/>
      <c r="J97" s="2"/>
      <c r="K97" s="2"/>
      <c r="L97" s="2"/>
      <c r="M97" s="2"/>
      <c r="N97" s="2"/>
      <c r="O97" s="2"/>
      <c r="P97" s="2"/>
      <c r="Q97" s="2"/>
      <c r="R97" s="2"/>
      <c r="S97" s="2"/>
      <c r="W97" s="55"/>
      <c r="X97" s="55"/>
      <c r="Y97" s="55"/>
      <c r="Z97" s="55"/>
      <c r="AA97" s="113"/>
      <c r="AB97" s="114"/>
      <c r="AC97" s="2"/>
      <c r="AD97" s="2"/>
      <c r="AE97" s="2"/>
      <c r="AF97" s="2"/>
      <c r="AG97" s="2"/>
      <c r="AH97" s="2"/>
      <c r="AI97" s="2"/>
      <c r="AJ97" s="21"/>
      <c r="AK97" s="2"/>
      <c r="AL97" s="2"/>
      <c r="AM97" s="51"/>
      <c r="AN97" s="70"/>
      <c r="AO97" s="70"/>
    </row>
    <row r="98" spans="1:45" ht="19.899999999999999" customHeight="1" outlineLevel="1" x14ac:dyDescent="0.55000000000000004">
      <c r="B98" s="185" t="s">
        <v>67</v>
      </c>
      <c r="C98" s="185"/>
      <c r="D98" s="185"/>
      <c r="E98" s="2"/>
      <c r="F98" s="187" t="s">
        <v>127</v>
      </c>
      <c r="G98" s="187"/>
      <c r="H98" s="187"/>
      <c r="I98" s="2"/>
      <c r="J98" s="187" t="s">
        <v>69</v>
      </c>
      <c r="K98" s="187"/>
      <c r="L98" s="187"/>
      <c r="M98" s="187"/>
      <c r="N98" s="2"/>
      <c r="O98" s="187" t="s">
        <v>38</v>
      </c>
      <c r="P98" s="187"/>
      <c r="Q98" s="187"/>
      <c r="R98" s="187"/>
      <c r="S98" s="2"/>
      <c r="T98" s="190" t="s">
        <v>461</v>
      </c>
      <c r="U98" s="190"/>
      <c r="W98" s="188" t="s">
        <v>31</v>
      </c>
      <c r="X98" s="188"/>
      <c r="Y98" s="188"/>
      <c r="Z98" s="188"/>
      <c r="AA98" s="188"/>
      <c r="AB98" s="188"/>
      <c r="AC98" s="2"/>
      <c r="AD98" s="189" t="s">
        <v>32</v>
      </c>
      <c r="AE98" s="189"/>
      <c r="AF98" s="189"/>
      <c r="AG98" s="189"/>
      <c r="AH98" s="189"/>
      <c r="AI98" s="189"/>
      <c r="AJ98" s="21"/>
      <c r="AK98" s="189" t="s">
        <v>149</v>
      </c>
      <c r="AL98" s="189"/>
      <c r="AM98" s="51"/>
      <c r="AN98" s="188" t="s">
        <v>325</v>
      </c>
      <c r="AO98" s="188"/>
      <c r="AQ98" s="185" t="s">
        <v>143</v>
      </c>
      <c r="AR98" s="185"/>
      <c r="AS98" s="185"/>
    </row>
    <row r="99" spans="1:45" ht="30.6" customHeight="1" outlineLevel="1" x14ac:dyDescent="0.55000000000000004">
      <c r="B99" s="145" t="s">
        <v>145</v>
      </c>
      <c r="C99" s="145" t="s">
        <v>10</v>
      </c>
      <c r="D99" s="78" t="s">
        <v>124</v>
      </c>
      <c r="E99" s="13"/>
      <c r="F99" s="82" t="s">
        <v>127</v>
      </c>
      <c r="G99" s="82" t="s">
        <v>153</v>
      </c>
      <c r="H99" s="133" t="s">
        <v>2</v>
      </c>
      <c r="I99" s="2"/>
      <c r="J99" s="88" t="s">
        <v>125</v>
      </c>
      <c r="K99" s="88" t="s">
        <v>36</v>
      </c>
      <c r="L99" s="48" t="s">
        <v>129</v>
      </c>
      <c r="M99" s="133" t="s">
        <v>2</v>
      </c>
      <c r="N99" s="13"/>
      <c r="O99" s="91" t="s">
        <v>126</v>
      </c>
      <c r="P99" s="91" t="s">
        <v>36</v>
      </c>
      <c r="Q99" s="92" t="s">
        <v>130</v>
      </c>
      <c r="R99" s="133" t="s">
        <v>2</v>
      </c>
      <c r="S99" s="55"/>
      <c r="T99" s="91" t="s">
        <v>154</v>
      </c>
      <c r="U99" s="91" t="s">
        <v>36</v>
      </c>
      <c r="W99" s="53" t="s">
        <v>12</v>
      </c>
      <c r="X99" s="53" t="s">
        <v>34</v>
      </c>
      <c r="Y99" s="53" t="s">
        <v>35</v>
      </c>
      <c r="Z99" s="53" t="s">
        <v>41</v>
      </c>
      <c r="AA99" s="56" t="s">
        <v>119</v>
      </c>
      <c r="AB99" s="53" t="s">
        <v>1</v>
      </c>
      <c r="AC99" s="55"/>
      <c r="AD99" s="53" t="s">
        <v>12</v>
      </c>
      <c r="AE99" s="53" t="s">
        <v>34</v>
      </c>
      <c r="AF99" s="53" t="s">
        <v>35</v>
      </c>
      <c r="AG99" s="56" t="s">
        <v>41</v>
      </c>
      <c r="AH99" s="56" t="s">
        <v>119</v>
      </c>
      <c r="AI99" s="53" t="s">
        <v>1</v>
      </c>
      <c r="AJ99" s="57"/>
      <c r="AK99" s="58" t="s">
        <v>3</v>
      </c>
      <c r="AL99" s="58" t="s">
        <v>0</v>
      </c>
      <c r="AM99" s="51"/>
      <c r="AN99" s="76" t="s">
        <v>45</v>
      </c>
      <c r="AO99" s="76" t="s">
        <v>146</v>
      </c>
      <c r="AQ99" s="58" t="s">
        <v>3</v>
      </c>
      <c r="AR99" s="58" t="s">
        <v>0</v>
      </c>
      <c r="AS99" s="58" t="s">
        <v>12</v>
      </c>
    </row>
    <row r="100" spans="1:45" s="19" customFormat="1" outlineLevel="1" x14ac:dyDescent="0.55000000000000004">
      <c r="B100" s="15" t="s">
        <v>239</v>
      </c>
      <c r="C100" s="15" t="s">
        <v>240</v>
      </c>
      <c r="D100" s="16" t="s">
        <v>241</v>
      </c>
      <c r="E100" s="20"/>
      <c r="F100" s="83" t="s">
        <v>242</v>
      </c>
      <c r="G100" s="83" t="s">
        <v>243</v>
      </c>
      <c r="H100" s="18" t="s">
        <v>244</v>
      </c>
      <c r="I100" s="23"/>
      <c r="J100" s="18" t="s">
        <v>245</v>
      </c>
      <c r="K100" s="18" t="s">
        <v>246</v>
      </c>
      <c r="L100" s="18" t="s">
        <v>247</v>
      </c>
      <c r="M100" s="17" t="s">
        <v>248</v>
      </c>
      <c r="N100" s="20"/>
      <c r="O100" s="17" t="s">
        <v>249</v>
      </c>
      <c r="P100" s="17" t="s">
        <v>250</v>
      </c>
      <c r="Q100" s="17" t="s">
        <v>251</v>
      </c>
      <c r="R100" s="142" t="s">
        <v>252</v>
      </c>
      <c r="S100" s="61"/>
      <c r="T100" s="17" t="s">
        <v>253</v>
      </c>
      <c r="U100" s="17" t="s">
        <v>254</v>
      </c>
      <c r="W100" s="60" t="s">
        <v>255</v>
      </c>
      <c r="X100" s="60" t="s">
        <v>256</v>
      </c>
      <c r="Y100" s="60" t="s">
        <v>257</v>
      </c>
      <c r="Z100" s="60" t="s">
        <v>258</v>
      </c>
      <c r="AA100" s="60" t="s">
        <v>259</v>
      </c>
      <c r="AB100" s="60" t="s">
        <v>260</v>
      </c>
      <c r="AC100" s="61"/>
      <c r="AD100" s="60" t="s">
        <v>261</v>
      </c>
      <c r="AE100" s="60" t="s">
        <v>262</v>
      </c>
      <c r="AF100" s="60" t="s">
        <v>263</v>
      </c>
      <c r="AG100" s="60" t="s">
        <v>264</v>
      </c>
      <c r="AH100" s="60" t="s">
        <v>265</v>
      </c>
      <c r="AI100" s="60" t="s">
        <v>266</v>
      </c>
      <c r="AJ100" s="62"/>
      <c r="AK100" s="60" t="s">
        <v>267</v>
      </c>
      <c r="AL100" s="60" t="s">
        <v>268</v>
      </c>
      <c r="AN100" s="60" t="s">
        <v>293</v>
      </c>
      <c r="AO100" s="60" t="s">
        <v>294</v>
      </c>
      <c r="AQ100" s="60" t="s">
        <v>295</v>
      </c>
      <c r="AR100" s="60" t="s">
        <v>296</v>
      </c>
      <c r="AS100" s="60" t="s">
        <v>297</v>
      </c>
    </row>
    <row r="101" spans="1:45" outlineLevel="1" x14ac:dyDescent="0.55000000000000004">
      <c r="B101" s="1"/>
      <c r="C101" s="3">
        <v>0</v>
      </c>
      <c r="D101" s="87">
        <v>1</v>
      </c>
      <c r="E101" s="2"/>
      <c r="F101" s="84">
        <v>1</v>
      </c>
      <c r="G101" s="84"/>
      <c r="H101" s="5"/>
      <c r="I101" s="2"/>
      <c r="J101" s="2"/>
      <c r="K101" s="2"/>
      <c r="L101" s="55"/>
      <c r="M101" s="55"/>
      <c r="N101" s="2"/>
      <c r="O101" s="10"/>
      <c r="P101" s="10"/>
      <c r="Q101" s="49"/>
      <c r="R101" s="55"/>
      <c r="S101" s="55"/>
      <c r="T101" s="2"/>
      <c r="U101" s="2"/>
      <c r="W101" s="63">
        <f>IFERROR(IF(C101&gt;=$F$7*4,0,-IF($F$22="pattern",U102*$F$21,IF(AND($F$22="single",C101=0),$F$21,IF(AND($F$22="annual",MOD(C101,4)=0),$F$21/$F$7,IF(AND($F$22="semi-ann",MOD(C101,2)=0),$F$21/(2*$F$7),IF($F$22="quarterly",$F$21/(4*$F$7),0)))))*F101),0)</f>
        <v>-9000000</v>
      </c>
      <c r="X101" s="63"/>
      <c r="Y101" s="63"/>
      <c r="Z101" s="63">
        <f>-$F$13*$F$21</f>
        <v>-900000</v>
      </c>
      <c r="AA101" s="63"/>
      <c r="AB101" s="64">
        <f t="shared" ref="AB101:AB121" si="69">SUM(W101:AA101)</f>
        <v>-9900000</v>
      </c>
      <c r="AC101" s="55"/>
      <c r="AD101" s="64">
        <f t="shared" ref="AD101:AD121" si="70">W101*$D101</f>
        <v>-9000000</v>
      </c>
      <c r="AE101" s="64"/>
      <c r="AF101" s="64"/>
      <c r="AG101" s="64">
        <f t="shared" ref="AG101:AG121" si="71">Z101*$D101</f>
        <v>-900000</v>
      </c>
      <c r="AH101" s="64"/>
      <c r="AI101" s="64">
        <f t="shared" ref="AI101:AI121" si="72">SUM(AD101:AH101)</f>
        <v>-9900000</v>
      </c>
      <c r="AJ101" s="57"/>
      <c r="AK101" s="51">
        <f ca="1">SUM(AD101:AD$121,AG101:AG$121)/D101+SUM(AE102:AF$122,AH102:AH$121)/D101</f>
        <v>-5052686.5004848158</v>
      </c>
      <c r="AL101" s="51">
        <f>SUM(AE102:$AF$122)*$G$14/D101</f>
        <v>82298.528371612454</v>
      </c>
      <c r="AM101" s="51"/>
      <c r="AN101" s="51">
        <f ca="1">-SUM(AD101:$AD$122,AH101:$AH$122)/D101</f>
        <v>6895970.7795385653</v>
      </c>
      <c r="AO101" s="51">
        <f ca="1">-SUM(W101:$W$122,AA101:$AA$122)</f>
        <v>6855177.981072288</v>
      </c>
      <c r="AQ101" s="9">
        <f t="shared" ref="AQ101:AQ121" ca="1" si="73">AK101-AK70</f>
        <v>37135.905586481094</v>
      </c>
      <c r="AR101" s="9">
        <f t="shared" ref="AR101:AR121" si="74">AL101-AL70</f>
        <v>899.52415412472328</v>
      </c>
      <c r="AS101" s="9">
        <f t="shared" ref="AS101:AS121" ca="1" si="75">IF($F$27="yes",AN101-AN70,AO101-AO70)</f>
        <v>-7151.7671156572178</v>
      </c>
    </row>
    <row r="102" spans="1:45" outlineLevel="1" x14ac:dyDescent="0.55000000000000004">
      <c r="A102" s="9"/>
      <c r="B102" s="1" t="s">
        <v>6</v>
      </c>
      <c r="C102" s="3">
        <v>1</v>
      </c>
      <c r="D102" s="87">
        <f>D101/(1+IF(C102&lt;$F$8,$F$17,$G$17))^(1/4)</f>
        <v>0.99506157747984325</v>
      </c>
      <c r="E102" s="4"/>
      <c r="F102" s="111">
        <f t="shared" ref="F102:F113" si="76">(1-IF(C102&lt;$F$8,$F$19,$G$19))^(C102/4)</f>
        <v>0.94574160900317583</v>
      </c>
      <c r="G102" s="84">
        <f>AVERAGE(F101:F102)</f>
        <v>0.97287080450158792</v>
      </c>
      <c r="H102" s="153">
        <f>F102*D102</f>
        <v>0.94107113734302528</v>
      </c>
      <c r="I102" s="4"/>
      <c r="J102" s="115">
        <f t="shared" ref="J102:J121" si="77">J71</f>
        <v>1</v>
      </c>
      <c r="K102" s="155">
        <f>J102/$J$93</f>
        <v>0.05</v>
      </c>
      <c r="L102" s="154">
        <f>J102*G102</f>
        <v>0.97287080450158792</v>
      </c>
      <c r="M102" s="154">
        <f>L102*D102</f>
        <v>0.96806635741143421</v>
      </c>
      <c r="N102" s="4"/>
      <c r="O102" s="115">
        <f t="shared" ref="O102:O121" si="78">O71</f>
        <v>1</v>
      </c>
      <c r="P102" s="94">
        <f>O102/$O$93</f>
        <v>0.05</v>
      </c>
      <c r="Q102" s="154">
        <f>O102*G102</f>
        <v>0.97287080450158792</v>
      </c>
      <c r="R102" s="154">
        <f>Q102*D102</f>
        <v>0.96806635741143421</v>
      </c>
      <c r="S102" s="51"/>
      <c r="T102" s="138">
        <f t="shared" ref="T102:T121" si="79">T71</f>
        <v>0.20282873599525819</v>
      </c>
      <c r="U102" s="135">
        <f>T102/$T$124</f>
        <v>0.20282873599525819</v>
      </c>
      <c r="W102" s="63">
        <f t="shared" ref="W102:W121" si="80">IFERROR(IF(C102&gt;=$F$7*4,0,-IF($F$22="pattern",U103*$F$21,IF(AND($F$22="single",C102=0),$F$21,IF(AND($F$22="annual",MOD(C102,4)=0),$F$21/$F$7,IF(AND($F$22="semi-ann",MOD(C102,2)=0),$F$21/(2*$F$7),IF($F$22="quarterly",$F$21/(4*$F$7),0)))))*F102),0)</f>
        <v>0</v>
      </c>
      <c r="X102" s="63">
        <f>$F$21*IF(C102&lt;$F$8,$F$11,$G$11)*P102*((1+$F$18)^(MIN($F$8-1,C102)/4))*((1+$G$18)^(MAX(0,C102-$F$8+1)/4))*F102</f>
        <v>255986.22997766148</v>
      </c>
      <c r="Y102" s="63">
        <f>-$F$21*IF(C102&lt;$F$8,$F$12,$G$12)*IF($F$28="risk",P102*F102,IF($F$28="policies IF",F102/($F$7*4),1/($F$7*4)))</f>
        <v>-63837.558607714374</v>
      </c>
      <c r="Z102" s="63">
        <v>0</v>
      </c>
      <c r="AA102" s="63">
        <f t="shared" ref="AA102:AA121" ca="1" si="81">IF($F$25="no",0,1)*(F102-F101)*OFFSET(W102,-IF($F$22="single",C102,IF($F$22="annual",MOD(C102,4),IF($F$22="semi-ann",MOD(C102,2),0))),0)*IF($F$22="single",($F$7*4-C102)/($F$7*4),IF(AND($F$22="annual",MOD(C102,4)&lt;&gt;0),(4-MOD(C102,4))/4,IF(AND($F$22="semi-ann",MOD(C102,2)&lt;&gt;0),0.5,0)))</f>
        <v>463909.24302284658</v>
      </c>
      <c r="AB102" s="64">
        <f t="shared" ca="1" si="69"/>
        <v>656057.91439279367</v>
      </c>
      <c r="AC102" s="51"/>
      <c r="AD102" s="51">
        <f t="shared" si="70"/>
        <v>0</v>
      </c>
      <c r="AE102" s="64">
        <f t="shared" ref="AE102:AE121" si="82">X102*$D102</f>
        <v>254722.06181468978</v>
      </c>
      <c r="AF102" s="64">
        <f t="shared" ref="AF102:AF121" si="83">Y102*$D102</f>
        <v>-63522.301770654209</v>
      </c>
      <c r="AG102" s="51">
        <f t="shared" si="71"/>
        <v>0</v>
      </c>
      <c r="AH102" s="64">
        <f t="shared" ref="AH102:AH121" ca="1" si="84">AA102*$D102</f>
        <v>461618.2631697937</v>
      </c>
      <c r="AI102" s="64">
        <f t="shared" ca="1" si="72"/>
        <v>652818.02321382926</v>
      </c>
      <c r="AJ102" s="57"/>
      <c r="AK102" s="51">
        <f ca="1">SUM(AD102:AD$121,AG102:AG$121)/D102+SUM(AE103:AF$122,AH103:AH$121)/D102</f>
        <v>4215312.4703343539</v>
      </c>
      <c r="AL102" s="51">
        <f>SUM(AE103:$AF$122)*$G$14/D102</f>
        <v>76942.510195397757</v>
      </c>
      <c r="AM102" s="51"/>
      <c r="AN102" s="51">
        <f ca="1">-SUM(AD102:$AD$122,AH102:$AH$122)/D102</f>
        <v>-2114471.373510608</v>
      </c>
      <c r="AO102" s="51">
        <f ca="1">-SUM(W102:$W$122,AA102:$AA$122)</f>
        <v>-2144822.0189277129</v>
      </c>
      <c r="AQ102" s="9">
        <f t="shared" ca="1" si="73"/>
        <v>37320.208544817753</v>
      </c>
      <c r="AR102" s="9">
        <f t="shared" si="74"/>
        <v>903.98843095013581</v>
      </c>
      <c r="AS102" s="9">
        <f t="shared" ca="1" si="75"/>
        <v>-7187.2608464802615</v>
      </c>
    </row>
    <row r="103" spans="1:45" outlineLevel="1" x14ac:dyDescent="0.55000000000000004">
      <c r="A103" s="9"/>
      <c r="B103" s="1" t="s">
        <v>7</v>
      </c>
      <c r="C103" s="3">
        <v>2</v>
      </c>
      <c r="D103" s="87">
        <f t="shared" ref="D103:D121" si="85">D102/(1+IF(C103&lt;$F$8,$F$17,$G$17))^(1/4)</f>
        <v>0.99014754297667418</v>
      </c>
      <c r="E103" s="4"/>
      <c r="F103" s="111">
        <f t="shared" si="76"/>
        <v>0.89442719099991586</v>
      </c>
      <c r="G103" s="84">
        <f t="shared" ref="G103:G113" si="86">AVERAGE(F102:F103)</f>
        <v>0.92008440000154579</v>
      </c>
      <c r="H103" s="153">
        <f t="shared" ref="H103:H113" si="87">F103*D103</f>
        <v>0.88561488554009515</v>
      </c>
      <c r="I103" s="4"/>
      <c r="J103" s="115">
        <f t="shared" si="77"/>
        <v>1</v>
      </c>
      <c r="K103" s="155">
        <f t="shared" ref="K103:K113" si="88">J103/$J$93</f>
        <v>0.05</v>
      </c>
      <c r="L103" s="154">
        <f t="shared" ref="L103:L113" si="89">J103*G103</f>
        <v>0.92008440000154579</v>
      </c>
      <c r="M103" s="154">
        <f t="shared" ref="M103:M113" si="90">L103*D103</f>
        <v>0.91101930799269804</v>
      </c>
      <c r="N103" s="4"/>
      <c r="O103" s="115">
        <f t="shared" si="78"/>
        <v>1</v>
      </c>
      <c r="P103" s="94">
        <f t="shared" ref="P103:P113" si="91">O103/$O$93</f>
        <v>0.05</v>
      </c>
      <c r="Q103" s="154">
        <f t="shared" ref="Q103:Q113" si="92">O103*G103</f>
        <v>0.92008440000154579</v>
      </c>
      <c r="R103" s="154">
        <f t="shared" ref="R103:R113" si="93">Q103*D103</f>
        <v>0.91101930799269804</v>
      </c>
      <c r="S103" s="51"/>
      <c r="T103" s="138">
        <f t="shared" si="79"/>
        <v>0.17818906429460918</v>
      </c>
      <c r="U103" s="135">
        <f t="shared" ref="U103:U121" si="94">T103/$T$124</f>
        <v>0.17818906429460918</v>
      </c>
      <c r="W103" s="63">
        <f t="shared" si="80"/>
        <v>0</v>
      </c>
      <c r="X103" s="63">
        <f t="shared" ref="X103:X121" si="95">$F$21*IF(C103&lt;$F$8,$F$11,$G$11)*P103*((1+$F$18)^(MIN($F$8-1,C103)/4))*((1+$G$18)^(MAX(0,C103-$F$8+1)/4))*F103</f>
        <v>242699.81458583768</v>
      </c>
      <c r="Y103" s="63">
        <f t="shared" ref="Y103:Y121" si="96">-$F$21*IF(C103&lt;$F$8,$F$12,$G$12)*IF($F$28="risk",P103*F103,IF($F$28="policies IF",F103/($F$7*4),1/($F$7*4)))</f>
        <v>-60373.835392494322</v>
      </c>
      <c r="Z103" s="63">
        <v>0</v>
      </c>
      <c r="AA103" s="63">
        <f t="shared" ca="1" si="81"/>
        <v>415646.7858264058</v>
      </c>
      <c r="AB103" s="64">
        <f t="shared" ca="1" si="69"/>
        <v>597972.76501974917</v>
      </c>
      <c r="AC103" s="51"/>
      <c r="AD103" s="51">
        <f t="shared" si="70"/>
        <v>0</v>
      </c>
      <c r="AE103" s="64">
        <f t="shared" si="82"/>
        <v>240308.62509306156</v>
      </c>
      <c r="AF103" s="64">
        <f t="shared" si="83"/>
        <v>-59779.004773956425</v>
      </c>
      <c r="AG103" s="51">
        <f t="shared" si="71"/>
        <v>0</v>
      </c>
      <c r="AH103" s="64">
        <f t="shared" ca="1" si="84"/>
        <v>411551.64373216761</v>
      </c>
      <c r="AI103" s="64">
        <f t="shared" ca="1" si="72"/>
        <v>592081.26405127277</v>
      </c>
      <c r="AJ103" s="57"/>
      <c r="AK103" s="51">
        <f ca="1">SUM(AD103:AD$121,AG103:AG$121)/D103+SUM(AE104:AF$122,AH104:AH$121)/D103</f>
        <v>3638260.0126645453</v>
      </c>
      <c r="AL103" s="51">
        <f>SUM(AE104:$AF$122)*$G$14/D103</f>
        <v>71854.591232767736</v>
      </c>
      <c r="AM103" s="51"/>
      <c r="AN103" s="51">
        <f ca="1">-SUM(AD103:$AD$122,AH103:$AH$122)/D103</f>
        <v>-1658753.7573986936</v>
      </c>
      <c r="AO103" s="51">
        <f ca="1">-SUM(W103:$W$122,AA103:$AA$122)</f>
        <v>-1680912.7759048659</v>
      </c>
      <c r="AQ103" s="9">
        <f t="shared" ca="1" si="73"/>
        <v>37505.426186121535</v>
      </c>
      <c r="AR103" s="9">
        <f t="shared" si="74"/>
        <v>908.47486367590318</v>
      </c>
      <c r="AS103" s="9">
        <f t="shared" ca="1" si="75"/>
        <v>-7222.9307302604429</v>
      </c>
    </row>
    <row r="104" spans="1:45" outlineLevel="1" x14ac:dyDescent="0.55000000000000004">
      <c r="A104" s="9"/>
      <c r="B104" s="1" t="s">
        <v>8</v>
      </c>
      <c r="C104" s="3">
        <v>3</v>
      </c>
      <c r="D104" s="87">
        <f t="shared" si="85"/>
        <v>0.98525777605216036</v>
      </c>
      <c r="E104" s="4"/>
      <c r="F104" s="111">
        <f t="shared" si="76"/>
        <v>0.84589701075245127</v>
      </c>
      <c r="G104" s="84">
        <f t="shared" si="86"/>
        <v>0.87016210087618351</v>
      </c>
      <c r="H104" s="153">
        <f t="shared" si="87"/>
        <v>0.83342660758313047</v>
      </c>
      <c r="I104" s="4"/>
      <c r="J104" s="115">
        <f t="shared" si="77"/>
        <v>1</v>
      </c>
      <c r="K104" s="155">
        <f t="shared" si="88"/>
        <v>0.05</v>
      </c>
      <c r="L104" s="154">
        <f t="shared" si="89"/>
        <v>0.87016210087618351</v>
      </c>
      <c r="M104" s="154">
        <f t="shared" si="90"/>
        <v>0.85733397631414421</v>
      </c>
      <c r="N104" s="4"/>
      <c r="O104" s="115">
        <f t="shared" si="78"/>
        <v>1</v>
      </c>
      <c r="P104" s="94">
        <f t="shared" si="91"/>
        <v>0.05</v>
      </c>
      <c r="Q104" s="154">
        <f t="shared" si="92"/>
        <v>0.87016210087618351</v>
      </c>
      <c r="R104" s="154">
        <f t="shared" si="93"/>
        <v>0.85733397631414421</v>
      </c>
      <c r="S104" s="51"/>
      <c r="T104" s="138">
        <f t="shared" si="79"/>
        <v>0.20194032380116383</v>
      </c>
      <c r="U104" s="135">
        <f t="shared" si="94"/>
        <v>0.20194032380116383</v>
      </c>
      <c r="W104" s="63">
        <f t="shared" si="80"/>
        <v>0</v>
      </c>
      <c r="X104" s="63">
        <f t="shared" si="95"/>
        <v>230103.00204483719</v>
      </c>
      <c r="Y104" s="63">
        <f t="shared" si="96"/>
        <v>-57098.048225790466</v>
      </c>
      <c r="Z104" s="63">
        <v>0</v>
      </c>
      <c r="AA104" s="63">
        <f t="shared" ca="1" si="81"/>
        <v>371255.87889310409</v>
      </c>
      <c r="AB104" s="64">
        <f t="shared" ca="1" si="69"/>
        <v>544260.83271215088</v>
      </c>
      <c r="AC104" s="51"/>
      <c r="AD104" s="51">
        <f t="shared" si="70"/>
        <v>0</v>
      </c>
      <c r="AE104" s="64">
        <f t="shared" si="82"/>
        <v>226710.772057622</v>
      </c>
      <c r="AF104" s="64">
        <f t="shared" si="83"/>
        <v>-56256.296011861312</v>
      </c>
      <c r="AG104" s="51">
        <f t="shared" si="71"/>
        <v>0</v>
      </c>
      <c r="AH104" s="64">
        <f t="shared" ca="1" si="84"/>
        <v>365782.7415845099</v>
      </c>
      <c r="AI104" s="64">
        <f t="shared" ca="1" si="72"/>
        <v>536237.21763027064</v>
      </c>
      <c r="AJ104" s="57"/>
      <c r="AK104" s="51">
        <f ca="1">SUM(AD104:AD$121,AG104:AG$121)/D104+SUM(AE105:AF$122,AH105:AH$121)/D104</f>
        <v>3112055.6154407719</v>
      </c>
      <c r="AL104" s="51">
        <f>SUM(AE105:$AF$122)*$G$14/D104</f>
        <v>67021.052037705071</v>
      </c>
      <c r="AM104" s="51"/>
      <c r="AN104" s="51">
        <f ca="1">-SUM(AD104:$AD$122,AH104:$AH$122)/D104</f>
        <v>-1249276.426410374</v>
      </c>
      <c r="AO104" s="51">
        <f ca="1">-SUM(W104:$W$122,AA104:$AA$122)</f>
        <v>-1265265.99007846</v>
      </c>
      <c r="AQ104" s="9">
        <f t="shared" ca="1" si="73"/>
        <v>37691.56304990733</v>
      </c>
      <c r="AR104" s="9">
        <f t="shared" si="74"/>
        <v>912.98356226028409</v>
      </c>
      <c r="AS104" s="9">
        <f t="shared" ca="1" si="75"/>
        <v>-7258.777641232824</v>
      </c>
    </row>
    <row r="105" spans="1:45" outlineLevel="1" x14ac:dyDescent="0.55000000000000004">
      <c r="A105" s="9"/>
      <c r="B105" s="1" t="s">
        <v>9</v>
      </c>
      <c r="C105" s="3">
        <v>4</v>
      </c>
      <c r="D105" s="87">
        <f t="shared" si="85"/>
        <v>0.98039215686274483</v>
      </c>
      <c r="E105" s="4"/>
      <c r="F105" s="111">
        <f t="shared" si="76"/>
        <v>0.8</v>
      </c>
      <c r="G105" s="84">
        <f t="shared" si="86"/>
        <v>0.82294850537622566</v>
      </c>
      <c r="H105" s="153">
        <f t="shared" si="87"/>
        <v>0.78431372549019596</v>
      </c>
      <c r="I105" s="4"/>
      <c r="J105" s="115">
        <f t="shared" si="77"/>
        <v>1</v>
      </c>
      <c r="K105" s="155">
        <f t="shared" si="88"/>
        <v>0.05</v>
      </c>
      <c r="L105" s="154">
        <f t="shared" si="89"/>
        <v>0.82294850537622566</v>
      </c>
      <c r="M105" s="154">
        <f t="shared" si="90"/>
        <v>0.80681226017277008</v>
      </c>
      <c r="N105" s="4"/>
      <c r="O105" s="115">
        <f t="shared" si="78"/>
        <v>1</v>
      </c>
      <c r="P105" s="94">
        <f t="shared" si="91"/>
        <v>0.05</v>
      </c>
      <c r="Q105" s="154">
        <f t="shared" si="92"/>
        <v>0.82294850537622566</v>
      </c>
      <c r="R105" s="154">
        <f t="shared" si="93"/>
        <v>0.80681226017277008</v>
      </c>
      <c r="S105" s="51"/>
      <c r="T105" s="138">
        <f t="shared" si="79"/>
        <v>0.20709640104961757</v>
      </c>
      <c r="U105" s="135">
        <f t="shared" si="94"/>
        <v>0.20709640104961757</v>
      </c>
      <c r="W105" s="63">
        <f t="shared" si="80"/>
        <v>0</v>
      </c>
      <c r="X105" s="63">
        <f t="shared" si="95"/>
        <v>218160</v>
      </c>
      <c r="Y105" s="63">
        <f t="shared" si="96"/>
        <v>-54000.000000000007</v>
      </c>
      <c r="Z105" s="63">
        <v>0</v>
      </c>
      <c r="AA105" s="63">
        <f t="shared" ca="1" si="81"/>
        <v>330458.47741764889</v>
      </c>
      <c r="AB105" s="64">
        <f t="shared" ca="1" si="69"/>
        <v>494618.47741764889</v>
      </c>
      <c r="AC105" s="51"/>
      <c r="AD105" s="51">
        <f t="shared" si="70"/>
        <v>0</v>
      </c>
      <c r="AE105" s="64">
        <f t="shared" si="82"/>
        <v>213882.35294117642</v>
      </c>
      <c r="AF105" s="64">
        <f t="shared" si="83"/>
        <v>-52941.176470588231</v>
      </c>
      <c r="AG105" s="51">
        <f t="shared" si="71"/>
        <v>0</v>
      </c>
      <c r="AH105" s="64">
        <f t="shared" ca="1" si="84"/>
        <v>323978.89942906745</v>
      </c>
      <c r="AI105" s="64">
        <f t="shared" ca="1" si="72"/>
        <v>484920.07589965564</v>
      </c>
      <c r="AJ105" s="57"/>
      <c r="AK105" s="51">
        <f ca="1">SUM(AD105:AD$121,AG105:AG$121)/D105+SUM(AE106:AF$122,AH106:AH$121)/D105</f>
        <v>2632882.0570945605</v>
      </c>
      <c r="AL105" s="51">
        <f>SUM(AE106:$AF$122)*$G$14/D105</f>
        <v>62428.872932932332</v>
      </c>
      <c r="AM105" s="51"/>
      <c r="AN105" s="51">
        <f ca="1">-SUM(AD105:$AD$122,AH105:$AH$122)/D105</f>
        <v>-882378.10341446474</v>
      </c>
      <c r="AO105" s="51">
        <f ca="1">-SUM(W105:$W$122,AA105:$AA$122)</f>
        <v>-894010.11118535581</v>
      </c>
      <c r="AQ105" s="9">
        <f t="shared" ca="1" si="73"/>
        <v>37878.623698212206</v>
      </c>
      <c r="AR105" s="9">
        <f t="shared" si="74"/>
        <v>917.51463720725587</v>
      </c>
      <c r="AS105" s="9">
        <f t="shared" ca="1" si="75"/>
        <v>-7294.8024579709163</v>
      </c>
    </row>
    <row r="106" spans="1:45" outlineLevel="1" x14ac:dyDescent="0.55000000000000004">
      <c r="A106" s="9"/>
      <c r="B106" s="1" t="s">
        <v>15</v>
      </c>
      <c r="C106" s="3">
        <v>5</v>
      </c>
      <c r="D106" s="87">
        <f t="shared" si="85"/>
        <v>0.97555056615670888</v>
      </c>
      <c r="E106" s="4"/>
      <c r="F106" s="111">
        <f t="shared" si="76"/>
        <v>0.75659328720254071</v>
      </c>
      <c r="G106" s="84">
        <f t="shared" si="86"/>
        <v>0.77829664360127038</v>
      </c>
      <c r="H106" s="153">
        <f t="shared" si="87"/>
        <v>0.73809500968080399</v>
      </c>
      <c r="I106" s="4"/>
      <c r="J106" s="115">
        <f t="shared" si="77"/>
        <v>1</v>
      </c>
      <c r="K106" s="155">
        <f t="shared" si="88"/>
        <v>0.05</v>
      </c>
      <c r="L106" s="154">
        <f t="shared" si="89"/>
        <v>0.77829664360127038</v>
      </c>
      <c r="M106" s="154">
        <f t="shared" si="90"/>
        <v>0.75926773130308556</v>
      </c>
      <c r="N106" s="4"/>
      <c r="O106" s="115">
        <f t="shared" si="78"/>
        <v>1</v>
      </c>
      <c r="P106" s="94">
        <f t="shared" si="91"/>
        <v>0.05</v>
      </c>
      <c r="Q106" s="154">
        <f t="shared" si="92"/>
        <v>0.77829664360127038</v>
      </c>
      <c r="R106" s="154">
        <f t="shared" si="93"/>
        <v>0.75926773130308556</v>
      </c>
      <c r="S106" s="51"/>
      <c r="T106" s="138">
        <f t="shared" si="79"/>
        <v>8.3175297485096111E-2</v>
      </c>
      <c r="U106" s="135">
        <f t="shared" si="94"/>
        <v>8.3175297485096111E-2</v>
      </c>
      <c r="W106" s="63">
        <f t="shared" si="80"/>
        <v>0</v>
      </c>
      <c r="X106" s="63">
        <f t="shared" si="95"/>
        <v>206836.87382195049</v>
      </c>
      <c r="Y106" s="63">
        <f t="shared" si="96"/>
        <v>-51070.046886171498</v>
      </c>
      <c r="Z106" s="63">
        <v>0</v>
      </c>
      <c r="AA106" s="63">
        <f t="shared" ca="1" si="81"/>
        <v>292995.31138285052</v>
      </c>
      <c r="AB106" s="64">
        <f t="shared" ca="1" si="69"/>
        <v>448762.13831862947</v>
      </c>
      <c r="AC106" s="51"/>
      <c r="AD106" s="51">
        <f t="shared" si="70"/>
        <v>0</v>
      </c>
      <c r="AE106" s="64">
        <f t="shared" si="82"/>
        <v>201779.82935908757</v>
      </c>
      <c r="AF106" s="64">
        <f t="shared" si="83"/>
        <v>-49821.413153454276</v>
      </c>
      <c r="AG106" s="51">
        <f t="shared" si="71"/>
        <v>0</v>
      </c>
      <c r="AH106" s="64">
        <f t="shared" ca="1" si="84"/>
        <v>285831.74190080102</v>
      </c>
      <c r="AI106" s="64">
        <f t="shared" ca="1" si="72"/>
        <v>437790.15810643428</v>
      </c>
      <c r="AJ106" s="57"/>
      <c r="AK106" s="51">
        <f ca="1">SUM(AD106:AD$121,AG106:AG$121)/D106+SUM(AE107:AF$122,AH107:AH$121)/D106</f>
        <v>2197186.7322656065</v>
      </c>
      <c r="AL106" s="51">
        <f>SUM(AE107:$AF$122)*$G$14/D106</f>
        <v>58065.69834941734</v>
      </c>
      <c r="AM106" s="51"/>
      <c r="AN106" s="51">
        <f ca="1">-SUM(AD106:$AD$122,AH106:$AH$122)/D106</f>
        <v>-554658.76533454633</v>
      </c>
      <c r="AO106" s="51">
        <f ca="1">-SUM(W106:$W$122,AA106:$AA$122)</f>
        <v>-563551.63376770704</v>
      </c>
      <c r="AQ106" s="9">
        <f t="shared" ca="1" si="73"/>
        <v>38066.612715713214</v>
      </c>
      <c r="AR106" s="9">
        <f t="shared" si="74"/>
        <v>922.06819956911932</v>
      </c>
      <c r="AS106" s="9">
        <f t="shared" ca="1" si="75"/>
        <v>-7331.0060634099646</v>
      </c>
    </row>
    <row r="107" spans="1:45" outlineLevel="1" x14ac:dyDescent="0.55000000000000004">
      <c r="A107" s="9"/>
      <c r="B107" s="1" t="s">
        <v>16</v>
      </c>
      <c r="C107" s="3">
        <v>6</v>
      </c>
      <c r="D107" s="87">
        <f t="shared" si="85"/>
        <v>0.9707328852712489</v>
      </c>
      <c r="E107" s="4"/>
      <c r="F107" s="111">
        <f t="shared" si="76"/>
        <v>0.71554175279993271</v>
      </c>
      <c r="G107" s="84">
        <f t="shared" si="86"/>
        <v>0.73606752000123676</v>
      </c>
      <c r="H107" s="153">
        <f t="shared" si="87"/>
        <v>0.69459991022752543</v>
      </c>
      <c r="I107" s="4"/>
      <c r="J107" s="115">
        <f t="shared" si="77"/>
        <v>1</v>
      </c>
      <c r="K107" s="155">
        <f t="shared" si="88"/>
        <v>0.05</v>
      </c>
      <c r="L107" s="154">
        <f t="shared" si="89"/>
        <v>0.73606752000123676</v>
      </c>
      <c r="M107" s="154">
        <f t="shared" si="90"/>
        <v>0.7145249474452533</v>
      </c>
      <c r="N107" s="4"/>
      <c r="O107" s="115">
        <f t="shared" si="78"/>
        <v>1</v>
      </c>
      <c r="P107" s="94">
        <f t="shared" si="91"/>
        <v>0.05</v>
      </c>
      <c r="Q107" s="154">
        <f t="shared" si="92"/>
        <v>0.73606752000123676</v>
      </c>
      <c r="R107" s="154">
        <f t="shared" si="93"/>
        <v>0.7145249474452533</v>
      </c>
      <c r="S107" s="51"/>
      <c r="T107" s="138">
        <f t="shared" si="79"/>
        <v>5.1890782453176132E-2</v>
      </c>
      <c r="U107" s="135">
        <f t="shared" si="94"/>
        <v>5.1890782453176132E-2</v>
      </c>
      <c r="W107" s="63">
        <f t="shared" si="80"/>
        <v>0</v>
      </c>
      <c r="X107" s="63">
        <f t="shared" si="95"/>
        <v>196101.45018535687</v>
      </c>
      <c r="Y107" s="63">
        <f t="shared" si="96"/>
        <v>-48299.068313995464</v>
      </c>
      <c r="Z107" s="63">
        <v>0</v>
      </c>
      <c r="AA107" s="63">
        <f t="shared" ca="1" si="81"/>
        <v>258624.6667364304</v>
      </c>
      <c r="AB107" s="64">
        <f t="shared" ca="1" si="69"/>
        <v>406427.04860779177</v>
      </c>
      <c r="AC107" s="51"/>
      <c r="AD107" s="51">
        <f t="shared" si="70"/>
        <v>0</v>
      </c>
      <c r="AE107" s="64">
        <f t="shared" si="82"/>
        <v>190362.12654430757</v>
      </c>
      <c r="AF107" s="64">
        <f t="shared" si="83"/>
        <v>-46885.49394035797</v>
      </c>
      <c r="AG107" s="51">
        <f t="shared" si="71"/>
        <v>0</v>
      </c>
      <c r="AH107" s="64">
        <f t="shared" ca="1" si="84"/>
        <v>251055.46894337027</v>
      </c>
      <c r="AI107" s="64">
        <f t="shared" ca="1" si="72"/>
        <v>394532.10154731991</v>
      </c>
      <c r="AJ107" s="57"/>
      <c r="AK107" s="51">
        <f ca="1">SUM(AD107:AD$121,AG107:AG$121)/D107+SUM(AE108:AF$122,AH108:AH$121)/D107</f>
        <v>1801664.1710636015</v>
      </c>
      <c r="AL107" s="51">
        <f>SUM(AE108:$AF$122)*$G$14/D107</f>
        <v>53919.802980934954</v>
      </c>
      <c r="AM107" s="51"/>
      <c r="AN107" s="51">
        <f ca="1">-SUM(AD107:$AD$122,AH107:$AH$122)/D107</f>
        <v>-262962.07176886621</v>
      </c>
      <c r="AO107" s="51">
        <f ca="1">-SUM(W107:$W$122,AA107:$AA$122)</f>
        <v>-270556.32238485647</v>
      </c>
      <c r="AQ107" s="9">
        <f t="shared" ca="1" si="73"/>
        <v>38255.534709846368</v>
      </c>
      <c r="AR107" s="9">
        <f t="shared" si="74"/>
        <v>926.6443609494163</v>
      </c>
      <c r="AS107" s="9">
        <f t="shared" ca="1" si="75"/>
        <v>-7367.3893448652234</v>
      </c>
    </row>
    <row r="108" spans="1:45" outlineLevel="1" x14ac:dyDescent="0.55000000000000004">
      <c r="A108" s="9"/>
      <c r="B108" s="1" t="s">
        <v>17</v>
      </c>
      <c r="C108" s="3">
        <v>7</v>
      </c>
      <c r="D108" s="87">
        <f t="shared" si="85"/>
        <v>0.96832110791813664</v>
      </c>
      <c r="E108" s="4"/>
      <c r="F108" s="111">
        <f t="shared" si="76"/>
        <v>0.83161897782507621</v>
      </c>
      <c r="G108" s="84">
        <f t="shared" si="86"/>
        <v>0.7735803653125044</v>
      </c>
      <c r="H108" s="153">
        <f t="shared" si="87"/>
        <v>0.8052742099733261</v>
      </c>
      <c r="I108" s="4"/>
      <c r="J108" s="115">
        <f t="shared" si="77"/>
        <v>1</v>
      </c>
      <c r="K108" s="155">
        <f t="shared" si="88"/>
        <v>0.05</v>
      </c>
      <c r="L108" s="154">
        <f t="shared" si="89"/>
        <v>0.7735803653125044</v>
      </c>
      <c r="M108" s="154">
        <f t="shared" si="90"/>
        <v>0.74907419640312112</v>
      </c>
      <c r="N108" s="4"/>
      <c r="O108" s="115">
        <f t="shared" si="78"/>
        <v>1</v>
      </c>
      <c r="P108" s="94">
        <f t="shared" si="91"/>
        <v>0.05</v>
      </c>
      <c r="Q108" s="154">
        <f t="shared" si="92"/>
        <v>0.7735803653125044</v>
      </c>
      <c r="R108" s="154">
        <f t="shared" si="93"/>
        <v>0.74907419640312112</v>
      </c>
      <c r="S108" s="51"/>
      <c r="T108" s="138">
        <f t="shared" si="79"/>
        <v>2.7830892374108518E-2</v>
      </c>
      <c r="U108" s="135">
        <f t="shared" si="94"/>
        <v>2.7830892374108518E-2</v>
      </c>
      <c r="W108" s="63">
        <f t="shared" si="80"/>
        <v>0</v>
      </c>
      <c r="X108" s="63">
        <f t="shared" si="95"/>
        <v>190164.95533158066</v>
      </c>
      <c r="Y108" s="63">
        <f t="shared" si="96"/>
        <v>-37422.854002128435</v>
      </c>
      <c r="Z108" s="63">
        <v>0</v>
      </c>
      <c r="AA108" s="63">
        <f t="shared" ca="1" si="81"/>
        <v>-679051.76639708946</v>
      </c>
      <c r="AB108" s="64">
        <f t="shared" ca="1" si="69"/>
        <v>-526309.66506763722</v>
      </c>
      <c r="AC108" s="51"/>
      <c r="AD108" s="51">
        <f t="shared" si="70"/>
        <v>0</v>
      </c>
      <c r="AE108" s="64">
        <f t="shared" si="82"/>
        <v>184140.74023387916</v>
      </c>
      <c r="AF108" s="64">
        <f t="shared" si="83"/>
        <v>-36237.339448799677</v>
      </c>
      <c r="AG108" s="51">
        <f t="shared" si="71"/>
        <v>0</v>
      </c>
      <c r="AH108" s="64">
        <f t="shared" ca="1" si="84"/>
        <v>-657540.15877139743</v>
      </c>
      <c r="AI108" s="64">
        <f t="shared" ca="1" si="72"/>
        <v>-509636.75798631797</v>
      </c>
      <c r="AJ108" s="57"/>
      <c r="AK108" s="51">
        <f ca="1">SUM(AD108:AD$121,AG108:AG$121)/D108+SUM(AE109:AF$122,AH109:AH$121)/D108</f>
        <v>2332461.2038134593</v>
      </c>
      <c r="AL108" s="51">
        <f>SUM(AE109:$AF$122)*$G$14/D108</f>
        <v>49471.836878968272</v>
      </c>
      <c r="AM108" s="51"/>
      <c r="AN108" s="51">
        <f ca="1">-SUM(AD108:$AD$122,AH108:$AH$122)/D108</f>
        <v>-4348.2081174279956</v>
      </c>
      <c r="AO108" s="51">
        <f ca="1">-SUM(W108:$W$122,AA108:$AA$122)</f>
        <v>-11931.655648426109</v>
      </c>
      <c r="AQ108" s="9">
        <f t="shared" ca="1" si="73"/>
        <v>33991.225994246081</v>
      </c>
      <c r="AR108" s="9">
        <f t="shared" si="74"/>
        <v>797.93987878736516</v>
      </c>
      <c r="AS108" s="9">
        <f t="shared" ca="1" si="75"/>
        <v>-7393.2300346679067</v>
      </c>
    </row>
    <row r="109" spans="1:45" outlineLevel="1" x14ac:dyDescent="0.55000000000000004">
      <c r="A109" s="9"/>
      <c r="B109" s="1" t="s">
        <v>18</v>
      </c>
      <c r="C109" s="3">
        <v>8</v>
      </c>
      <c r="D109" s="87">
        <f t="shared" si="85"/>
        <v>0.96591532260473922</v>
      </c>
      <c r="E109" s="4"/>
      <c r="F109" s="111">
        <f t="shared" si="76"/>
        <v>0.81</v>
      </c>
      <c r="G109" s="84">
        <f t="shared" si="86"/>
        <v>0.82080948891253813</v>
      </c>
      <c r="H109" s="153">
        <f t="shared" si="87"/>
        <v>0.7823914113098388</v>
      </c>
      <c r="I109" s="4"/>
      <c r="J109" s="115">
        <f t="shared" si="77"/>
        <v>1</v>
      </c>
      <c r="K109" s="155">
        <f t="shared" si="88"/>
        <v>0.05</v>
      </c>
      <c r="L109" s="154">
        <f t="shared" si="89"/>
        <v>0.82080948891253813</v>
      </c>
      <c r="M109" s="154">
        <f t="shared" si="90"/>
        <v>0.79283246227998538</v>
      </c>
      <c r="N109" s="4"/>
      <c r="O109" s="115">
        <f t="shared" si="78"/>
        <v>1</v>
      </c>
      <c r="P109" s="94">
        <f t="shared" si="91"/>
        <v>0.05</v>
      </c>
      <c r="Q109" s="154">
        <f t="shared" si="92"/>
        <v>0.82080948891253813</v>
      </c>
      <c r="R109" s="154">
        <f t="shared" si="93"/>
        <v>0.79283246227998538</v>
      </c>
      <c r="S109" s="51"/>
      <c r="T109" s="138">
        <f t="shared" si="79"/>
        <v>1.5225286106495761E-2</v>
      </c>
      <c r="U109" s="135">
        <f t="shared" si="94"/>
        <v>1.5225286106495761E-2</v>
      </c>
      <c r="W109" s="63">
        <f t="shared" si="80"/>
        <v>0</v>
      </c>
      <c r="X109" s="63">
        <f t="shared" si="95"/>
        <v>185452.47280464222</v>
      </c>
      <c r="Y109" s="63">
        <f t="shared" si="96"/>
        <v>-36450.000000000007</v>
      </c>
      <c r="Z109" s="63">
        <v>0</v>
      </c>
      <c r="AA109" s="63">
        <f t="shared" ca="1" si="81"/>
        <v>116742.48025541125</v>
      </c>
      <c r="AB109" s="64">
        <f t="shared" ca="1" si="69"/>
        <v>265744.95306005346</v>
      </c>
      <c r="AC109" s="51"/>
      <c r="AD109" s="51">
        <f t="shared" si="70"/>
        <v>0</v>
      </c>
      <c r="AE109" s="64">
        <f t="shared" si="82"/>
        <v>179131.38509694263</v>
      </c>
      <c r="AF109" s="64">
        <f t="shared" si="83"/>
        <v>-35207.613508942755</v>
      </c>
      <c r="AG109" s="51">
        <f t="shared" si="71"/>
        <v>0</v>
      </c>
      <c r="AH109" s="64">
        <f t="shared" ca="1" si="84"/>
        <v>112763.35047758296</v>
      </c>
      <c r="AI109" s="64">
        <f t="shared" ca="1" si="72"/>
        <v>256687.12206558284</v>
      </c>
      <c r="AJ109" s="57"/>
      <c r="AK109" s="51">
        <f ca="1">SUM(AD109:AD$121,AG109:AG$121)/D109+SUM(AE110:AF$122,AH110:AH$121)/D109</f>
        <v>2072525.6636252017</v>
      </c>
      <c r="AL109" s="51">
        <f>SUM(AE110:$AF$122)*$G$14/D109</f>
        <v>45124.98117558493</v>
      </c>
      <c r="AM109" s="51"/>
      <c r="AN109" s="51">
        <f ca="1">-SUM(AD109:$AD$122,AH109:$AH$122)/D109</f>
        <v>-685102.1046944483</v>
      </c>
      <c r="AO109" s="51">
        <f ca="1">-SUM(W109:$W$122,AA109:$AA$122)</f>
        <v>-690983.42204551562</v>
      </c>
      <c r="AQ109" s="9">
        <f t="shared" ca="1" si="73"/>
        <v>28393.489643062465</v>
      </c>
      <c r="AR109" s="9">
        <f t="shared" si="74"/>
        <v>679.59313933023077</v>
      </c>
      <c r="AS109" s="9">
        <f t="shared" ca="1" si="75"/>
        <v>-5740.3849987210706</v>
      </c>
    </row>
    <row r="110" spans="1:45" outlineLevel="1" x14ac:dyDescent="0.55000000000000004">
      <c r="A110" s="9"/>
      <c r="B110" s="1" t="s">
        <v>19</v>
      </c>
      <c r="C110" s="3">
        <v>9</v>
      </c>
      <c r="D110" s="87">
        <f t="shared" si="85"/>
        <v>0.96351551444388639</v>
      </c>
      <c r="E110" s="4"/>
      <c r="F110" s="111">
        <f t="shared" si="76"/>
        <v>0.78894303460449045</v>
      </c>
      <c r="G110" s="84">
        <f t="shared" si="86"/>
        <v>0.7994715173022453</v>
      </c>
      <c r="H110" s="153">
        <f t="shared" si="87"/>
        <v>0.7601588538538665</v>
      </c>
      <c r="I110" s="4"/>
      <c r="J110" s="115">
        <f t="shared" si="77"/>
        <v>1</v>
      </c>
      <c r="K110" s="155">
        <f t="shared" si="88"/>
        <v>0.05</v>
      </c>
      <c r="L110" s="154">
        <f t="shared" si="89"/>
        <v>0.7994715173022453</v>
      </c>
      <c r="M110" s="154">
        <f t="shared" si="90"/>
        <v>0.77030321027670734</v>
      </c>
      <c r="N110" s="4"/>
      <c r="O110" s="115">
        <f t="shared" si="78"/>
        <v>1</v>
      </c>
      <c r="P110" s="94">
        <f t="shared" si="91"/>
        <v>0.05</v>
      </c>
      <c r="Q110" s="154">
        <f t="shared" si="92"/>
        <v>0.7994715173022453</v>
      </c>
      <c r="R110" s="154">
        <f t="shared" si="93"/>
        <v>0.77030321027670734</v>
      </c>
      <c r="S110" s="51"/>
      <c r="T110" s="138">
        <f t="shared" si="79"/>
        <v>1.3868361840445591E-2</v>
      </c>
      <c r="U110" s="135">
        <f t="shared" si="94"/>
        <v>1.3868361840445591E-2</v>
      </c>
      <c r="W110" s="63">
        <f t="shared" si="80"/>
        <v>0</v>
      </c>
      <c r="X110" s="63">
        <f t="shared" si="95"/>
        <v>180856.77042538123</v>
      </c>
      <c r="Y110" s="63">
        <f t="shared" si="96"/>
        <v>-35502.436557202076</v>
      </c>
      <c r="Z110" s="63">
        <v>0</v>
      </c>
      <c r="AA110" s="63">
        <f t="shared" ca="1" si="81"/>
        <v>104231.97870777256</v>
      </c>
      <c r="AB110" s="64">
        <f t="shared" ca="1" si="69"/>
        <v>249586.31257595171</v>
      </c>
      <c r="AC110" s="51"/>
      <c r="AD110" s="51">
        <f t="shared" si="70"/>
        <v>0</v>
      </c>
      <c r="AE110" s="64">
        <f t="shared" si="82"/>
        <v>174258.30419707106</v>
      </c>
      <c r="AF110" s="64">
        <f t="shared" si="83"/>
        <v>-34207.148423423998</v>
      </c>
      <c r="AG110" s="51">
        <f t="shared" si="71"/>
        <v>0</v>
      </c>
      <c r="AH110" s="64">
        <f t="shared" ca="1" si="84"/>
        <v>100429.1285861237</v>
      </c>
      <c r="AI110" s="64">
        <f t="shared" ca="1" si="72"/>
        <v>240480.28435977077</v>
      </c>
      <c r="AJ110" s="57"/>
      <c r="AK110" s="51">
        <f ca="1">SUM(AD110:AD$121,AG110:AG$121)/D110+SUM(AE111:AF$122,AH111:AH$121)/D110</f>
        <v>1828101.3478480408</v>
      </c>
      <c r="AL110" s="51">
        <f>SUM(AE111:$AF$122)*$G$14/D110</f>
        <v>40876.743016712717</v>
      </c>
      <c r="AM110" s="51"/>
      <c r="AN110" s="51">
        <f ca="1">-SUM(AD110:$AD$122,AH110:$AH$122)/D110</f>
        <v>-569775.22599872272</v>
      </c>
      <c r="AO110" s="51">
        <f ca="1">-SUM(W110:$W$122,AA110:$AA$122)</f>
        <v>-574240.94179010426</v>
      </c>
      <c r="AQ110" s="9">
        <f t="shared" ca="1" si="73"/>
        <v>23410.598335795337</v>
      </c>
      <c r="AR110" s="9">
        <f t="shared" si="74"/>
        <v>571.40557693496521</v>
      </c>
      <c r="AS110" s="9">
        <f t="shared" ca="1" si="75"/>
        <v>-4363.7457712964388</v>
      </c>
    </row>
    <row r="111" spans="1:45" outlineLevel="1" x14ac:dyDescent="0.55000000000000004">
      <c r="A111" s="9"/>
      <c r="B111" s="1" t="s">
        <v>20</v>
      </c>
      <c r="C111" s="3">
        <v>10</v>
      </c>
      <c r="D111" s="87">
        <f t="shared" si="85"/>
        <v>0.96112166858539494</v>
      </c>
      <c r="E111" s="4"/>
      <c r="F111" s="111">
        <f t="shared" si="76"/>
        <v>0.76843347142091623</v>
      </c>
      <c r="G111" s="84">
        <f t="shared" si="86"/>
        <v>0.77868825301270328</v>
      </c>
      <c r="H111" s="153">
        <f t="shared" si="87"/>
        <v>0.73855806024893844</v>
      </c>
      <c r="I111" s="4"/>
      <c r="J111" s="115">
        <f t="shared" si="77"/>
        <v>1</v>
      </c>
      <c r="K111" s="155">
        <f t="shared" si="88"/>
        <v>0.05</v>
      </c>
      <c r="L111" s="154">
        <f t="shared" si="89"/>
        <v>0.77868825301270328</v>
      </c>
      <c r="M111" s="154">
        <f t="shared" si="90"/>
        <v>0.74841415304341552</v>
      </c>
      <c r="N111" s="4"/>
      <c r="O111" s="115">
        <f t="shared" si="78"/>
        <v>1</v>
      </c>
      <c r="P111" s="94">
        <f t="shared" si="91"/>
        <v>0.05</v>
      </c>
      <c r="Q111" s="154">
        <f t="shared" si="92"/>
        <v>0.77868825301270328</v>
      </c>
      <c r="R111" s="154">
        <f t="shared" si="93"/>
        <v>0.74841415304341552</v>
      </c>
      <c r="S111" s="51"/>
      <c r="T111" s="138">
        <f t="shared" si="79"/>
        <v>5.0809898881113407E-3</v>
      </c>
      <c r="U111" s="135">
        <f t="shared" si="94"/>
        <v>5.0809898881113407E-3</v>
      </c>
      <c r="W111" s="63">
        <f t="shared" si="80"/>
        <v>0</v>
      </c>
      <c r="X111" s="63">
        <f t="shared" si="95"/>
        <v>176374.95426202953</v>
      </c>
      <c r="Y111" s="63">
        <f t="shared" si="96"/>
        <v>-34579.506213941233</v>
      </c>
      <c r="Z111" s="63">
        <v>0</v>
      </c>
      <c r="AA111" s="63">
        <f t="shared" ca="1" si="81"/>
        <v>92293.034326083987</v>
      </c>
      <c r="AB111" s="64">
        <f t="shared" ca="1" si="69"/>
        <v>234088.48237417228</v>
      </c>
      <c r="AC111" s="51"/>
      <c r="AD111" s="51">
        <f t="shared" si="70"/>
        <v>0</v>
      </c>
      <c r="AE111" s="64">
        <f t="shared" si="82"/>
        <v>169517.79033699454</v>
      </c>
      <c r="AF111" s="64">
        <f t="shared" si="83"/>
        <v>-33235.11271120223</v>
      </c>
      <c r="AG111" s="51">
        <f t="shared" si="71"/>
        <v>0</v>
      </c>
      <c r="AH111" s="64">
        <f t="shared" ca="1" si="84"/>
        <v>88704.835150294966</v>
      </c>
      <c r="AI111" s="64">
        <f t="shared" ca="1" si="72"/>
        <v>224987.51277608727</v>
      </c>
      <c r="AJ111" s="57"/>
      <c r="AK111" s="51">
        <f ca="1">SUM(AD111:AD$121,AG111:AG$121)/D111+SUM(AE112:AF$122,AH112:AH$121)/D111</f>
        <v>1598566.0796854363</v>
      </c>
      <c r="AL111" s="51">
        <f>SUM(AE112:$AF$122)*$G$14/D111</f>
        <v>36724.690433538621</v>
      </c>
      <c r="AM111" s="51"/>
      <c r="AN111" s="51">
        <f ca="1">-SUM(AD111:$AD$122,AH111:$AH$122)/D111</f>
        <v>-466702.76622689969</v>
      </c>
      <c r="AO111" s="51">
        <f ca="1">-SUM(W111:$W$122,AA111:$AA$122)</f>
        <v>-470008.96308233176</v>
      </c>
      <c r="AQ111" s="9">
        <f t="shared" ca="1" si="73"/>
        <v>19007.255846739979</v>
      </c>
      <c r="AR111" s="9">
        <f t="shared" si="74"/>
        <v>473.18380345500191</v>
      </c>
      <c r="AS111" s="9">
        <f t="shared" ca="1" si="75"/>
        <v>-3234.4623982397025</v>
      </c>
    </row>
    <row r="112" spans="1:45" outlineLevel="1" x14ac:dyDescent="0.55000000000000004">
      <c r="A112" s="9"/>
      <c r="B112" s="1" t="s">
        <v>21</v>
      </c>
      <c r="C112" s="3">
        <v>11</v>
      </c>
      <c r="D112" s="87">
        <f t="shared" si="85"/>
        <v>0.95873377021597694</v>
      </c>
      <c r="E112" s="4"/>
      <c r="F112" s="111">
        <f t="shared" si="76"/>
        <v>0.74845708004256861</v>
      </c>
      <c r="G112" s="84">
        <f t="shared" si="86"/>
        <v>0.75844527573174236</v>
      </c>
      <c r="H112" s="153">
        <f t="shared" si="87"/>
        <v>0.71757107819405308</v>
      </c>
      <c r="I112" s="4"/>
      <c r="J112" s="115">
        <f t="shared" si="77"/>
        <v>1</v>
      </c>
      <c r="K112" s="155">
        <f t="shared" si="88"/>
        <v>0.05</v>
      </c>
      <c r="L112" s="154">
        <f t="shared" si="89"/>
        <v>0.75844527573174236</v>
      </c>
      <c r="M112" s="154">
        <f t="shared" si="90"/>
        <v>0.72714709870478955</v>
      </c>
      <c r="N112" s="4"/>
      <c r="O112" s="115">
        <f t="shared" si="78"/>
        <v>1</v>
      </c>
      <c r="P112" s="94">
        <f t="shared" si="91"/>
        <v>0.05</v>
      </c>
      <c r="Q112" s="154">
        <f t="shared" si="92"/>
        <v>0.75844527573174236</v>
      </c>
      <c r="R112" s="154">
        <f t="shared" si="93"/>
        <v>0.72714709870478955</v>
      </c>
      <c r="S112" s="51"/>
      <c r="T112" s="138">
        <f t="shared" si="79"/>
        <v>6.0769058883075608E-3</v>
      </c>
      <c r="U112" s="135">
        <f t="shared" si="94"/>
        <v>6.0769058883075608E-3</v>
      </c>
      <c r="W112" s="63">
        <f t="shared" si="80"/>
        <v>0</v>
      </c>
      <c r="X112" s="63">
        <f t="shared" si="95"/>
        <v>172004.20209741473</v>
      </c>
      <c r="Y112" s="63">
        <f t="shared" si="96"/>
        <v>-33680.568601915591</v>
      </c>
      <c r="Z112" s="63">
        <v>0</v>
      </c>
      <c r="AA112" s="63">
        <f t="shared" ca="1" si="81"/>
        <v>80904.385082307839</v>
      </c>
      <c r="AB112" s="64">
        <f t="shared" ca="1" si="69"/>
        <v>219228.018577807</v>
      </c>
      <c r="AC112" s="51"/>
      <c r="AD112" s="51">
        <f t="shared" si="70"/>
        <v>0</v>
      </c>
      <c r="AE112" s="64">
        <f t="shared" si="82"/>
        <v>164906.23716984526</v>
      </c>
      <c r="AF112" s="64">
        <f t="shared" si="83"/>
        <v>-32290.698518732392</v>
      </c>
      <c r="AG112" s="51">
        <f t="shared" si="71"/>
        <v>0</v>
      </c>
      <c r="AH112" s="64">
        <f t="shared" ca="1" si="84"/>
        <v>77565.766136966238</v>
      </c>
      <c r="AI112" s="64">
        <f t="shared" ca="1" si="72"/>
        <v>210181.30478807911</v>
      </c>
      <c r="AJ112" s="57"/>
      <c r="AK112" s="51">
        <f ca="1">SUM(AD112:AD$121,AG112:AG$121)/D112+SUM(AE113:AF$122,AH113:AH$121)/D112</f>
        <v>1383319.5765748774</v>
      </c>
      <c r="AL112" s="51">
        <f>SUM(AE113:$AF$122)*$G$14/D112</f>
        <v>32666.450855461302</v>
      </c>
      <c r="AM112" s="51"/>
      <c r="AN112" s="51">
        <f ca="1">-SUM(AD112:$AD$122,AH112:$AH$122)/D112</f>
        <v>-375342.26647514151</v>
      </c>
      <c r="AO112" s="51">
        <f ca="1">-SUM(W112:$W$122,AA112:$AA$122)</f>
        <v>-377715.9287562478</v>
      </c>
      <c r="AQ112" s="9">
        <f t="shared" ca="1" si="73"/>
        <v>15149.528955426533</v>
      </c>
      <c r="AR112" s="9">
        <f t="shared" si="74"/>
        <v>384.73948341202413</v>
      </c>
      <c r="AS112" s="9">
        <f t="shared" ca="1" si="75"/>
        <v>-2324.8795083587756</v>
      </c>
    </row>
    <row r="113" spans="1:45" outlineLevel="1" x14ac:dyDescent="0.55000000000000004">
      <c r="A113" s="9"/>
      <c r="B113" s="1" t="s">
        <v>22</v>
      </c>
      <c r="C113" s="3">
        <v>12</v>
      </c>
      <c r="D113" s="87">
        <f t="shared" si="85"/>
        <v>0.95635180455914781</v>
      </c>
      <c r="E113" s="4"/>
      <c r="F113" s="111">
        <f t="shared" si="76"/>
        <v>0.72900000000000009</v>
      </c>
      <c r="G113" s="84">
        <f t="shared" si="86"/>
        <v>0.73872854002128441</v>
      </c>
      <c r="H113" s="153">
        <f t="shared" si="87"/>
        <v>0.6971804655236189</v>
      </c>
      <c r="I113" s="4"/>
      <c r="J113" s="115">
        <f t="shared" si="77"/>
        <v>1</v>
      </c>
      <c r="K113" s="155">
        <f t="shared" si="88"/>
        <v>0.05</v>
      </c>
      <c r="L113" s="154">
        <f t="shared" si="89"/>
        <v>0.73872854002128441</v>
      </c>
      <c r="M113" s="154">
        <f t="shared" si="90"/>
        <v>0.70648437232869998</v>
      </c>
      <c r="N113" s="4"/>
      <c r="O113" s="115">
        <f t="shared" si="78"/>
        <v>1</v>
      </c>
      <c r="P113" s="94">
        <f t="shared" si="91"/>
        <v>0.05</v>
      </c>
      <c r="Q113" s="154">
        <f t="shared" si="92"/>
        <v>0.73872854002128441</v>
      </c>
      <c r="R113" s="154">
        <f t="shared" si="93"/>
        <v>0.70648437232869998</v>
      </c>
      <c r="S113" s="51"/>
      <c r="T113" s="138">
        <f t="shared" si="79"/>
        <v>6.7969588236102014E-3</v>
      </c>
      <c r="U113" s="135">
        <f t="shared" si="94"/>
        <v>6.7969588236102014E-3</v>
      </c>
      <c r="W113" s="63">
        <f t="shared" si="80"/>
        <v>0</v>
      </c>
      <c r="X113" s="63">
        <f t="shared" si="95"/>
        <v>167741.76165179888</v>
      </c>
      <c r="Y113" s="63">
        <f t="shared" si="96"/>
        <v>-32805</v>
      </c>
      <c r="Z113" s="63">
        <v>0</v>
      </c>
      <c r="AA113" s="63">
        <f t="shared" ca="1" si="81"/>
        <v>70045.488153246682</v>
      </c>
      <c r="AB113" s="64">
        <f t="shared" ca="1" si="69"/>
        <v>204982.24980504555</v>
      </c>
      <c r="AC113" s="51"/>
      <c r="AD113" s="51">
        <f t="shared" si="70"/>
        <v>0</v>
      </c>
      <c r="AE113" s="64">
        <f t="shared" si="82"/>
        <v>160420.13645562832</v>
      </c>
      <c r="AF113" s="64">
        <f t="shared" si="83"/>
        <v>-31373.120948562842</v>
      </c>
      <c r="AG113" s="51">
        <f t="shared" si="71"/>
        <v>0</v>
      </c>
      <c r="AH113" s="64">
        <f t="shared" ca="1" si="84"/>
        <v>66988.128996583881</v>
      </c>
      <c r="AI113" s="64">
        <f t="shared" ca="1" si="72"/>
        <v>196035.14450364938</v>
      </c>
      <c r="AJ113" s="57"/>
      <c r="AK113" s="51">
        <f ca="1">SUM(AD113:AD$121,AG113:AG$121)/D113+SUM(AE114:AF$122,AH114:AH$121)/D113</f>
        <v>1181782.7322243021</v>
      </c>
      <c r="AL113" s="51">
        <f>SUM(AE114:$AF$122)*$G$14/D113</f>
        <v>28699.709659325323</v>
      </c>
      <c r="AM113" s="51"/>
      <c r="AN113" s="51">
        <f ca="1">-SUM(AD113:$AD$122,AH113:$AH$122)/D113</f>
        <v>-295171.23173337133</v>
      </c>
      <c r="AO113" s="51">
        <f ca="1">-SUM(W113:$W$122,AA113:$AA$122)</f>
        <v>-296811.54367393994</v>
      </c>
      <c r="AQ113" s="9">
        <f t="shared" ca="1" si="73"/>
        <v>11804.800083054462</v>
      </c>
      <c r="AR113" s="9">
        <f t="shared" si="74"/>
        <v>305.8892122246034</v>
      </c>
      <c r="AS113" s="9">
        <f t="shared" ca="1" si="75"/>
        <v>-1608.4930089005502</v>
      </c>
    </row>
    <row r="114" spans="1:45" outlineLevel="1" x14ac:dyDescent="0.55000000000000004">
      <c r="A114" s="9"/>
      <c r="B114" s="1" t="s">
        <v>23</v>
      </c>
      <c r="C114" s="3">
        <v>13</v>
      </c>
      <c r="D114" s="87">
        <f t="shared" si="85"/>
        <v>0.95397575687513503</v>
      </c>
      <c r="E114" s="4"/>
      <c r="F114" s="111">
        <f t="shared" ref="F114:F121" si="97">(1-IF(C114&lt;$F$8,$F$19,$G$19))^(C114/4)</f>
        <v>0.71004873114404132</v>
      </c>
      <c r="G114" s="84">
        <f t="shared" ref="G114:G121" si="98">AVERAGE(F113:F114)</f>
        <v>0.71952436557202071</v>
      </c>
      <c r="H114" s="153">
        <f t="shared" ref="H114:H121" si="99">F114*D114</f>
        <v>0.67736927571136607</v>
      </c>
      <c r="I114" s="4"/>
      <c r="J114" s="115">
        <f t="shared" si="77"/>
        <v>1</v>
      </c>
      <c r="K114" s="155">
        <f t="shared" ref="K114:K121" si="100">J114/$J$93</f>
        <v>0.05</v>
      </c>
      <c r="L114" s="154">
        <f t="shared" ref="L114:L121" si="101">J114*G114</f>
        <v>0.71952436557202071</v>
      </c>
      <c r="M114" s="154">
        <f t="shared" ref="M114:M121" si="102">L114*D114</f>
        <v>0.68640880123666981</v>
      </c>
      <c r="N114" s="4"/>
      <c r="O114" s="115">
        <f t="shared" si="78"/>
        <v>1</v>
      </c>
      <c r="P114" s="94">
        <f t="shared" ref="P114:P121" si="103">O114/$O$93</f>
        <v>0.05</v>
      </c>
      <c r="Q114" s="154">
        <f t="shared" ref="Q114:Q121" si="104">O114*G114</f>
        <v>0.71952436557202071</v>
      </c>
      <c r="R114" s="154">
        <f t="shared" ref="R114:R121" si="105">Q114*D114</f>
        <v>0.68640880123666981</v>
      </c>
      <c r="S114" s="51"/>
      <c r="T114" s="138">
        <f t="shared" si="79"/>
        <v>0</v>
      </c>
      <c r="U114" s="135">
        <f t="shared" si="94"/>
        <v>0</v>
      </c>
      <c r="W114" s="63">
        <f t="shared" si="80"/>
        <v>0</v>
      </c>
      <c r="X114" s="63">
        <f t="shared" si="95"/>
        <v>163584.94884975729</v>
      </c>
      <c r="Y114" s="63">
        <f t="shared" si="96"/>
        <v>-31952.19290148186</v>
      </c>
      <c r="Z114" s="63">
        <v>0</v>
      </c>
      <c r="AA114" s="63">
        <f t="shared" ca="1" si="81"/>
        <v>59696.496896270117</v>
      </c>
      <c r="AB114" s="64">
        <f t="shared" ca="1" si="69"/>
        <v>191329.25284454555</v>
      </c>
      <c r="AC114" s="51"/>
      <c r="AD114" s="51">
        <f t="shared" si="70"/>
        <v>0</v>
      </c>
      <c r="AE114" s="64">
        <f t="shared" si="82"/>
        <v>156056.07539232745</v>
      </c>
      <c r="AF114" s="64">
        <f t="shared" si="83"/>
        <v>-30481.617407011472</v>
      </c>
      <c r="AG114" s="51">
        <f t="shared" si="71"/>
        <v>0</v>
      </c>
      <c r="AH114" s="64">
        <f t="shared" ca="1" si="84"/>
        <v>56949.010809413434</v>
      </c>
      <c r="AI114" s="64">
        <f t="shared" ca="1" si="72"/>
        <v>182523.46879472939</v>
      </c>
      <c r="AJ114" s="57"/>
      <c r="AK114" s="51">
        <f ca="1">SUM(AD114:AD$121,AG114:AG$121)/D114+SUM(AE115:AF$122,AH115:AH$121)/D114</f>
        <v>993396.92118492955</v>
      </c>
      <c r="AL114" s="51">
        <f>SUM(AE115:$AF$122)*$G$14/D114</f>
        <v>24822.208754052568</v>
      </c>
      <c r="AM114" s="51"/>
      <c r="AN114" s="51">
        <f ca="1">-SUM(AD114:$AD$122,AH114:$AH$122)/D114</f>
        <v>-225686.45961278077</v>
      </c>
      <c r="AO114" s="51">
        <f ca="1">-SUM(W114:$W$122,AA114:$AA$122)</f>
        <v>-226766.05552069325</v>
      </c>
      <c r="AQ114" s="9">
        <f t="shared" ca="1" si="73"/>
        <v>8941.7214688519016</v>
      </c>
      <c r="AR114" s="9">
        <f t="shared" si="74"/>
        <v>236.45439741932569</v>
      </c>
      <c r="AS114" s="9">
        <f t="shared" ca="1" si="75"/>
        <v>-1059.908221541089</v>
      </c>
    </row>
    <row r="115" spans="1:45" outlineLevel="1" x14ac:dyDescent="0.55000000000000004">
      <c r="A115" s="9"/>
      <c r="B115" s="1" t="s">
        <v>24</v>
      </c>
      <c r="C115" s="3">
        <v>14</v>
      </c>
      <c r="D115" s="87">
        <f t="shared" si="85"/>
        <v>0.95160561246078712</v>
      </c>
      <c r="E115" s="4"/>
      <c r="F115" s="111">
        <f t="shared" si="97"/>
        <v>0.6915901242788246</v>
      </c>
      <c r="G115" s="84">
        <f t="shared" si="98"/>
        <v>0.70081942771143302</v>
      </c>
      <c r="H115" s="153">
        <f t="shared" si="99"/>
        <v>0.65812104378618275</v>
      </c>
      <c r="I115" s="4"/>
      <c r="J115" s="115">
        <f t="shared" si="77"/>
        <v>1</v>
      </c>
      <c r="K115" s="155">
        <f t="shared" si="100"/>
        <v>0.05</v>
      </c>
      <c r="L115" s="154">
        <f t="shared" si="101"/>
        <v>0.70081942771143302</v>
      </c>
      <c r="M115" s="154">
        <f t="shared" si="102"/>
        <v>0.66690370073175653</v>
      </c>
      <c r="N115" s="4"/>
      <c r="O115" s="115">
        <f t="shared" si="78"/>
        <v>1</v>
      </c>
      <c r="P115" s="94">
        <f t="shared" si="103"/>
        <v>0.05</v>
      </c>
      <c r="Q115" s="154">
        <f t="shared" si="104"/>
        <v>0.70081942771143302</v>
      </c>
      <c r="R115" s="154">
        <f t="shared" si="105"/>
        <v>0.66690370073175653</v>
      </c>
      <c r="S115" s="51"/>
      <c r="T115" s="138">
        <f t="shared" si="79"/>
        <v>0</v>
      </c>
      <c r="U115" s="135">
        <f t="shared" si="94"/>
        <v>0</v>
      </c>
      <c r="W115" s="63">
        <f t="shared" si="80"/>
        <v>0</v>
      </c>
      <c r="X115" s="63">
        <f t="shared" si="95"/>
        <v>159531.14613000565</v>
      </c>
      <c r="Y115" s="63">
        <f t="shared" si="96"/>
        <v>-31121.555592547105</v>
      </c>
      <c r="Z115" s="63">
        <v>0</v>
      </c>
      <c r="AA115" s="63">
        <f t="shared" ca="1" si="81"/>
        <v>49838.23853608514</v>
      </c>
      <c r="AB115" s="64">
        <f t="shared" ca="1" si="69"/>
        <v>178247.82907354369</v>
      </c>
      <c r="AC115" s="51"/>
      <c r="AD115" s="51">
        <f t="shared" si="70"/>
        <v>0</v>
      </c>
      <c r="AE115" s="64">
        <f t="shared" si="82"/>
        <v>151810.73401961537</v>
      </c>
      <c r="AF115" s="64">
        <f t="shared" si="83"/>
        <v>-29615.446970378223</v>
      </c>
      <c r="AG115" s="51">
        <f t="shared" si="71"/>
        <v>0</v>
      </c>
      <c r="AH115" s="64">
        <f t="shared" ca="1" si="84"/>
        <v>47426.3475060981</v>
      </c>
      <c r="AI115" s="64">
        <f t="shared" ca="1" si="72"/>
        <v>169621.63455533524</v>
      </c>
      <c r="AJ115" s="57"/>
      <c r="AK115" s="51">
        <f ca="1">SUM(AD115:AD$121,AG115:AG$121)/D115+SUM(AE116:AF$122,AH116:AH$121)/D115</f>
        <v>817623.32527389133</v>
      </c>
      <c r="AL115" s="51">
        <f>SUM(AE116:$AF$122)*$G$14/D115</f>
        <v>21031.745199808287</v>
      </c>
      <c r="AM115" s="51"/>
      <c r="AN115" s="51">
        <f ca="1">-SUM(AD115:$AD$122,AH115:$AH$122)/D115</f>
        <v>-166403.39048303361</v>
      </c>
      <c r="AO115" s="51">
        <f ca="1">-SUM(W115:$W$122,AA115:$AA$122)</f>
        <v>-167069.55862442317</v>
      </c>
      <c r="AQ115" s="9">
        <f t="shared" ca="1" si="73"/>
        <v>6530.1708382817451</v>
      </c>
      <c r="AR115" s="9">
        <f t="shared" si="74"/>
        <v>176.26114275122745</v>
      </c>
      <c r="AS115" s="9">
        <f t="shared" ca="1" si="75"/>
        <v>-654.79941324077663</v>
      </c>
    </row>
    <row r="116" spans="1:45" outlineLevel="1" x14ac:dyDescent="0.55000000000000004">
      <c r="A116" s="9"/>
      <c r="B116" s="1" t="s">
        <v>25</v>
      </c>
      <c r="C116" s="3">
        <v>15</v>
      </c>
      <c r="D116" s="87">
        <f t="shared" si="85"/>
        <v>0.94924135664948217</v>
      </c>
      <c r="E116" s="4"/>
      <c r="F116" s="111">
        <f t="shared" si="97"/>
        <v>0.67361137203831178</v>
      </c>
      <c r="G116" s="84">
        <f t="shared" si="98"/>
        <v>0.68260074815856819</v>
      </c>
      <c r="H116" s="153">
        <f t="shared" si="99"/>
        <v>0.63941977264816618</v>
      </c>
      <c r="I116" s="4"/>
      <c r="J116" s="115">
        <f t="shared" si="77"/>
        <v>1</v>
      </c>
      <c r="K116" s="155">
        <f t="shared" si="100"/>
        <v>0.05</v>
      </c>
      <c r="L116" s="154">
        <f t="shared" si="101"/>
        <v>0.68260074815856819</v>
      </c>
      <c r="M116" s="154">
        <f t="shared" si="102"/>
        <v>0.64795286023199083</v>
      </c>
      <c r="N116" s="4"/>
      <c r="O116" s="115">
        <f t="shared" si="78"/>
        <v>1</v>
      </c>
      <c r="P116" s="94">
        <f t="shared" si="103"/>
        <v>0.05</v>
      </c>
      <c r="Q116" s="154">
        <f t="shared" si="104"/>
        <v>0.68260074815856819</v>
      </c>
      <c r="R116" s="154">
        <f t="shared" si="105"/>
        <v>0.64795286023199083</v>
      </c>
      <c r="S116" s="51"/>
      <c r="T116" s="138">
        <f t="shared" si="79"/>
        <v>0</v>
      </c>
      <c r="U116" s="135">
        <f t="shared" si="94"/>
        <v>0</v>
      </c>
      <c r="W116" s="63">
        <f t="shared" si="80"/>
        <v>0</v>
      </c>
      <c r="X116" s="63">
        <f t="shared" si="95"/>
        <v>155577.80079711159</v>
      </c>
      <c r="Y116" s="63">
        <f t="shared" si="96"/>
        <v>-30312.511741724029</v>
      </c>
      <c r="Z116" s="63">
        <v>0</v>
      </c>
      <c r="AA116" s="63">
        <f t="shared" ca="1" si="81"/>
        <v>40452.19254115384</v>
      </c>
      <c r="AB116" s="64">
        <f t="shared" ca="1" si="69"/>
        <v>165717.48159654142</v>
      </c>
      <c r="AC116" s="51"/>
      <c r="AD116" s="51">
        <f t="shared" si="70"/>
        <v>0</v>
      </c>
      <c r="AE116" s="64">
        <f t="shared" si="82"/>
        <v>147680.8826931931</v>
      </c>
      <c r="AF116" s="64">
        <f t="shared" si="83"/>
        <v>-28773.889769167476</v>
      </c>
      <c r="AG116" s="51">
        <f t="shared" si="71"/>
        <v>0</v>
      </c>
      <c r="AH116" s="64">
        <f t="shared" ca="1" si="84"/>
        <v>38398.894127210937</v>
      </c>
      <c r="AI116" s="64">
        <f t="shared" ca="1" si="72"/>
        <v>157305.88705123655</v>
      </c>
      <c r="AJ116" s="57"/>
      <c r="AK116" s="51">
        <f ca="1">SUM(AD116:AD$121,AG116:AG$121)/D116+SUM(AE117:AF$122,AH117:AH$121)/D116</f>
        <v>653942.281180516</v>
      </c>
      <c r="AL116" s="51">
        <f>SUM(AE117:$AF$122)*$G$14/D116</f>
        <v>17326.169860859896</v>
      </c>
      <c r="AM116" s="51"/>
      <c r="AN116" s="51">
        <f ca="1">-SUM(AD116:$AD$122,AH116:$AH$122)/D116</f>
        <v>-116855.47835967346</v>
      </c>
      <c r="AO116" s="51">
        <f ca="1">-SUM(W116:$W$122,AA116:$AA$122)</f>
        <v>-117231.32008833799</v>
      </c>
      <c r="AQ116" s="9">
        <f t="shared" ca="1" si="73"/>
        <v>4541.2085164897144</v>
      </c>
      <c r="AR116" s="9">
        <f t="shared" si="74"/>
        <v>125.14013516324485</v>
      </c>
      <c r="AS116" s="9">
        <f t="shared" ca="1" si="75"/>
        <v>-369.87067771502188</v>
      </c>
    </row>
    <row r="117" spans="1:45" outlineLevel="1" x14ac:dyDescent="0.55000000000000004">
      <c r="A117" s="9"/>
      <c r="B117" s="1" t="s">
        <v>26</v>
      </c>
      <c r="C117" s="3">
        <v>16</v>
      </c>
      <c r="D117" s="87">
        <f t="shared" si="85"/>
        <v>0.94688297481103745</v>
      </c>
      <c r="E117" s="4"/>
      <c r="F117" s="111">
        <f t="shared" si="97"/>
        <v>0.65610000000000013</v>
      </c>
      <c r="G117" s="84">
        <f t="shared" si="98"/>
        <v>0.6648556860191559</v>
      </c>
      <c r="H117" s="153">
        <f t="shared" si="99"/>
        <v>0.62124991977352184</v>
      </c>
      <c r="I117" s="4"/>
      <c r="J117" s="115">
        <f t="shared" si="77"/>
        <v>1</v>
      </c>
      <c r="K117" s="155">
        <f t="shared" si="100"/>
        <v>0.05</v>
      </c>
      <c r="L117" s="154">
        <f t="shared" si="101"/>
        <v>0.6648556860191559</v>
      </c>
      <c r="M117" s="154">
        <f t="shared" si="102"/>
        <v>0.62954052979785147</v>
      </c>
      <c r="N117" s="4"/>
      <c r="O117" s="115">
        <f t="shared" si="78"/>
        <v>1</v>
      </c>
      <c r="P117" s="94">
        <f t="shared" si="103"/>
        <v>0.05</v>
      </c>
      <c r="Q117" s="154">
        <f t="shared" si="104"/>
        <v>0.6648556860191559</v>
      </c>
      <c r="R117" s="154">
        <f t="shared" si="105"/>
        <v>0.62954052979785147</v>
      </c>
      <c r="S117" s="51"/>
      <c r="T117" s="138">
        <f t="shared" si="79"/>
        <v>0</v>
      </c>
      <c r="U117" s="135">
        <f t="shared" si="94"/>
        <v>0</v>
      </c>
      <c r="W117" s="63">
        <f t="shared" si="80"/>
        <v>0</v>
      </c>
      <c r="X117" s="63">
        <f t="shared" si="95"/>
        <v>151722.42341405209</v>
      </c>
      <c r="Y117" s="63">
        <f t="shared" si="96"/>
        <v>-29524.500000000007</v>
      </c>
      <c r="Z117" s="63">
        <v>0</v>
      </c>
      <c r="AA117" s="63">
        <f t="shared" ca="1" si="81"/>
        <v>31520.469668960985</v>
      </c>
      <c r="AB117" s="64">
        <f t="shared" ca="1" si="69"/>
        <v>153718.39308301307</v>
      </c>
      <c r="AC117" s="51"/>
      <c r="AD117" s="51">
        <f t="shared" si="70"/>
        <v>0</v>
      </c>
      <c r="AE117" s="64">
        <f t="shared" si="82"/>
        <v>143663.37962783745</v>
      </c>
      <c r="AF117" s="64">
        <f t="shared" si="83"/>
        <v>-27956.246389808482</v>
      </c>
      <c r="AG117" s="51">
        <f t="shared" si="71"/>
        <v>0</v>
      </c>
      <c r="AH117" s="64">
        <f t="shared" ca="1" si="84"/>
        <v>29846.196087586854</v>
      </c>
      <c r="AI117" s="64">
        <f t="shared" ca="1" si="72"/>
        <v>145553.32932561584</v>
      </c>
      <c r="AJ117" s="57"/>
      <c r="AK117" s="51">
        <f ca="1">SUM(AD117:AD$121,AG117:AG$121)/D117+SUM(AE118:AF$122,AH118:AH$121)/D117</f>
        <v>501852.64860999939</v>
      </c>
      <c r="AL117" s="51">
        <f>SUM(AE118:$AF$122)*$G$14/D117</f>
        <v>13703.386091307191</v>
      </c>
      <c r="AM117" s="51"/>
      <c r="AN117" s="51">
        <f ca="1">-SUM(AD117:$AD$122,AH117:$AH$122)/D117</f>
        <v>-76593.581902053978</v>
      </c>
      <c r="AO117" s="51">
        <f ca="1">-SUM(W117:$W$122,AA117:$AA$122)</f>
        <v>-76779.127547184151</v>
      </c>
      <c r="AQ117" s="9">
        <f t="shared" ca="1" si="73"/>
        <v>2947.035941789276</v>
      </c>
      <c r="AR117" s="9">
        <f t="shared" si="74"/>
        <v>82.926534514821469</v>
      </c>
      <c r="AS117" s="9">
        <f t="shared" ca="1" si="75"/>
        <v>-182.81812462855305</v>
      </c>
    </row>
    <row r="118" spans="1:45" outlineLevel="1" x14ac:dyDescent="0.55000000000000004">
      <c r="A118" s="9"/>
      <c r="B118" s="1" t="s">
        <v>27</v>
      </c>
      <c r="C118" s="3">
        <v>17</v>
      </c>
      <c r="D118" s="87">
        <f t="shared" si="85"/>
        <v>0.94453045235161892</v>
      </c>
      <c r="E118" s="4"/>
      <c r="F118" s="111">
        <f t="shared" si="97"/>
        <v>0.63904385802963726</v>
      </c>
      <c r="G118" s="84">
        <f t="shared" si="98"/>
        <v>0.64757192901481875</v>
      </c>
      <c r="H118" s="153">
        <f t="shared" si="99"/>
        <v>0.60359638429725704</v>
      </c>
      <c r="I118" s="4"/>
      <c r="J118" s="115">
        <f t="shared" si="77"/>
        <v>1</v>
      </c>
      <c r="K118" s="155">
        <f t="shared" si="100"/>
        <v>0.05</v>
      </c>
      <c r="L118" s="154">
        <f t="shared" si="101"/>
        <v>0.64757192901481875</v>
      </c>
      <c r="M118" s="154">
        <f t="shared" si="102"/>
        <v>0.61165140704257726</v>
      </c>
      <c r="N118" s="4"/>
      <c r="O118" s="115">
        <f t="shared" si="78"/>
        <v>1</v>
      </c>
      <c r="P118" s="94">
        <f t="shared" si="103"/>
        <v>0.05</v>
      </c>
      <c r="Q118" s="154">
        <f t="shared" si="104"/>
        <v>0.64757192901481875</v>
      </c>
      <c r="R118" s="154">
        <f t="shared" si="105"/>
        <v>0.61165140704257726</v>
      </c>
      <c r="S118" s="51"/>
      <c r="T118" s="138">
        <f t="shared" si="79"/>
        <v>0</v>
      </c>
      <c r="U118" s="135">
        <f t="shared" si="94"/>
        <v>0</v>
      </c>
      <c r="W118" s="63">
        <f t="shared" si="80"/>
        <v>0</v>
      </c>
      <c r="X118" s="63">
        <f t="shared" si="95"/>
        <v>147962.58623460543</v>
      </c>
      <c r="Y118" s="63">
        <f t="shared" si="96"/>
        <v>-28756.97361133368</v>
      </c>
      <c r="Z118" s="63">
        <v>0</v>
      </c>
      <c r="AA118" s="63">
        <f t="shared" ca="1" si="81"/>
        <v>23025.791659989874</v>
      </c>
      <c r="AB118" s="64">
        <f t="shared" ca="1" si="69"/>
        <v>142231.40428326163</v>
      </c>
      <c r="AC118" s="51"/>
      <c r="AD118" s="51">
        <f t="shared" si="70"/>
        <v>0</v>
      </c>
      <c r="AE118" s="64">
        <f t="shared" si="82"/>
        <v>139755.16850728731</v>
      </c>
      <c r="AF118" s="64">
        <f t="shared" si="83"/>
        <v>-27161.837293376568</v>
      </c>
      <c r="AG118" s="51">
        <f t="shared" si="71"/>
        <v>0</v>
      </c>
      <c r="AH118" s="64">
        <f t="shared" ca="1" si="84"/>
        <v>21748.561412364372</v>
      </c>
      <c r="AI118" s="64">
        <f t="shared" ca="1" si="72"/>
        <v>134341.8926262751</v>
      </c>
      <c r="AJ118" s="57"/>
      <c r="AK118" s="51">
        <f ca="1">SUM(AD118:AD$121,AG118:AG$121)/D118+SUM(AE119:AF$122,AH119:AH$121)/D118</f>
        <v>360871.19833746785</v>
      </c>
      <c r="AL118" s="51">
        <f>SUM(AE119:$AF$122)*$G$14/D118</f>
        <v>10161.348452882812</v>
      </c>
      <c r="AM118" s="51"/>
      <c r="AN118" s="51">
        <f ca="1">-SUM(AD118:$AD$122,AH118:$AH$122)/D118</f>
        <v>-45185.374901364034</v>
      </c>
      <c r="AO118" s="51">
        <f ca="1">-SUM(W118:$W$122,AA118:$AA$122)</f>
        <v>-45258.657878223181</v>
      </c>
      <c r="AQ118" s="9">
        <f t="shared" ca="1" si="73"/>
        <v>1720.9555353597389</v>
      </c>
      <c r="AR118" s="9">
        <f t="shared" si="74"/>
        <v>49.459866012646671</v>
      </c>
      <c r="AS118" s="9">
        <f t="shared" ca="1" si="75"/>
        <v>-72.293334938301996</v>
      </c>
    </row>
    <row r="119" spans="1:45" outlineLevel="1" x14ac:dyDescent="0.55000000000000004">
      <c r="A119" s="9"/>
      <c r="B119" s="1" t="s">
        <v>28</v>
      </c>
      <c r="C119" s="3">
        <v>18</v>
      </c>
      <c r="D119" s="87">
        <f t="shared" si="85"/>
        <v>0.94218377471365067</v>
      </c>
      <c r="E119" s="4"/>
      <c r="F119" s="111">
        <f t="shared" si="97"/>
        <v>0.62243111185094213</v>
      </c>
      <c r="G119" s="84">
        <f t="shared" si="98"/>
        <v>0.63073748494028969</v>
      </c>
      <c r="H119" s="153">
        <f t="shared" si="99"/>
        <v>0.58644449446293512</v>
      </c>
      <c r="I119" s="4"/>
      <c r="J119" s="115">
        <f t="shared" si="77"/>
        <v>1</v>
      </c>
      <c r="K119" s="155">
        <f t="shared" si="100"/>
        <v>0.05</v>
      </c>
      <c r="L119" s="154">
        <f t="shared" si="101"/>
        <v>0.63073748494028969</v>
      </c>
      <c r="M119" s="154">
        <f t="shared" si="102"/>
        <v>0.59427062441443657</v>
      </c>
      <c r="N119" s="4"/>
      <c r="O119" s="115">
        <f t="shared" si="78"/>
        <v>1</v>
      </c>
      <c r="P119" s="94">
        <f t="shared" si="103"/>
        <v>0.05</v>
      </c>
      <c r="Q119" s="154">
        <f t="shared" si="104"/>
        <v>0.63073748494028969</v>
      </c>
      <c r="R119" s="154">
        <f t="shared" si="105"/>
        <v>0.59427062441443657</v>
      </c>
      <c r="S119" s="51"/>
      <c r="T119" s="138">
        <f t="shared" si="79"/>
        <v>0</v>
      </c>
      <c r="U119" s="135">
        <f t="shared" si="94"/>
        <v>0</v>
      </c>
      <c r="W119" s="63">
        <f t="shared" si="80"/>
        <v>0</v>
      </c>
      <c r="X119" s="63">
        <f t="shared" si="95"/>
        <v>144295.92167459012</v>
      </c>
      <c r="Y119" s="63">
        <f t="shared" si="96"/>
        <v>-28009.400033292397</v>
      </c>
      <c r="Z119" s="63">
        <v>0</v>
      </c>
      <c r="AA119" s="63">
        <f t="shared" ca="1" si="81"/>
        <v>14951.471560825616</v>
      </c>
      <c r="AB119" s="64">
        <f t="shared" ca="1" si="69"/>
        <v>131237.99320212335</v>
      </c>
      <c r="AC119" s="51"/>
      <c r="AD119" s="51">
        <f t="shared" si="70"/>
        <v>0</v>
      </c>
      <c r="AE119" s="64">
        <f t="shared" si="82"/>
        <v>135953.27615915061</v>
      </c>
      <c r="AF119" s="64">
        <f t="shared" si="83"/>
        <v>-26390.002250832084</v>
      </c>
      <c r="AG119" s="51">
        <f t="shared" si="71"/>
        <v>0</v>
      </c>
      <c r="AH119" s="64">
        <f t="shared" ca="1" si="84"/>
        <v>14087.033912702476</v>
      </c>
      <c r="AI119" s="64">
        <f t="shared" ca="1" si="72"/>
        <v>123650.30782102101</v>
      </c>
      <c r="AJ119" s="57"/>
      <c r="AK119" s="51">
        <f ca="1">SUM(AD119:AD$121,AG119:AG$121)/D119+SUM(AE120:AF$122,AH120:AH$121)/D119</f>
        <v>230532.01956417793</v>
      </c>
      <c r="AL119" s="51">
        <f>SUM(AE120:$AF$122)*$G$14/D119</f>
        <v>6698.0614640410831</v>
      </c>
      <c r="AM119" s="51"/>
      <c r="AN119" s="51">
        <f ca="1">-SUM(AD119:$AD$122,AH119:$AH$122)/D119</f>
        <v>-22214.77565696742</v>
      </c>
      <c r="AO119" s="51">
        <f ca="1">-SUM(W119:$W$122,AA119:$AA$122)</f>
        <v>-22232.866218233306</v>
      </c>
      <c r="AQ119" s="9">
        <f t="shared" ca="1" si="73"/>
        <v>837.33188466681167</v>
      </c>
      <c r="AR119" s="9">
        <f t="shared" si="74"/>
        <v>24.58391527735148</v>
      </c>
      <c r="AS119" s="9">
        <f t="shared" ca="1" si="75"/>
        <v>-17.868042088404763</v>
      </c>
    </row>
    <row r="120" spans="1:45" outlineLevel="1" x14ac:dyDescent="0.55000000000000004">
      <c r="A120" s="9"/>
      <c r="B120" s="1" t="s">
        <v>29</v>
      </c>
      <c r="C120" s="3">
        <v>19</v>
      </c>
      <c r="D120" s="87">
        <f t="shared" si="85"/>
        <v>0.93984292737572495</v>
      </c>
      <c r="E120" s="4"/>
      <c r="F120" s="111">
        <f t="shared" si="97"/>
        <v>0.60625023483448059</v>
      </c>
      <c r="G120" s="84">
        <f t="shared" si="98"/>
        <v>0.61434067334271136</v>
      </c>
      <c r="H120" s="153">
        <f t="shared" si="99"/>
        <v>0.56977999542905899</v>
      </c>
      <c r="I120" s="4"/>
      <c r="J120" s="115">
        <f t="shared" si="77"/>
        <v>1</v>
      </c>
      <c r="K120" s="155">
        <f t="shared" si="100"/>
        <v>0.05</v>
      </c>
      <c r="L120" s="154">
        <f t="shared" si="101"/>
        <v>0.61434067334271136</v>
      </c>
      <c r="M120" s="154">
        <f t="shared" si="102"/>
        <v>0.5773837368403878</v>
      </c>
      <c r="N120" s="4"/>
      <c r="O120" s="115">
        <f t="shared" si="78"/>
        <v>1</v>
      </c>
      <c r="P120" s="94">
        <f t="shared" si="103"/>
        <v>0.05</v>
      </c>
      <c r="Q120" s="154">
        <f t="shared" si="104"/>
        <v>0.61434067334271136</v>
      </c>
      <c r="R120" s="154">
        <f t="shared" si="105"/>
        <v>0.5773837368403878</v>
      </c>
      <c r="S120" s="51"/>
      <c r="T120" s="138">
        <f t="shared" si="79"/>
        <v>0</v>
      </c>
      <c r="U120" s="135">
        <f t="shared" si="94"/>
        <v>0</v>
      </c>
      <c r="W120" s="63">
        <f t="shared" si="80"/>
        <v>0</v>
      </c>
      <c r="X120" s="63">
        <f t="shared" si="95"/>
        <v>140720.12082098742</v>
      </c>
      <c r="Y120" s="63">
        <f t="shared" si="96"/>
        <v>-27281.260567551628</v>
      </c>
      <c r="Z120" s="63">
        <v>0</v>
      </c>
      <c r="AA120" s="63">
        <f t="shared" ca="1" si="81"/>
        <v>7281.3946574076908</v>
      </c>
      <c r="AB120" s="64">
        <f t="shared" ca="1" si="69"/>
        <v>120720.25491084348</v>
      </c>
      <c r="AC120" s="51"/>
      <c r="AD120" s="51">
        <f t="shared" si="70"/>
        <v>0</v>
      </c>
      <c r="AE120" s="64">
        <f t="shared" si="82"/>
        <v>132254.8102930625</v>
      </c>
      <c r="AF120" s="64">
        <f t="shared" si="83"/>
        <v>-25640.099794307655</v>
      </c>
      <c r="AG120" s="51">
        <f t="shared" si="71"/>
        <v>0</v>
      </c>
      <c r="AH120" s="64">
        <f t="shared" ca="1" si="84"/>
        <v>6843.3672701960077</v>
      </c>
      <c r="AI120" s="64">
        <f t="shared" ca="1" si="72"/>
        <v>113458.07776895085</v>
      </c>
      <c r="AJ120" s="57"/>
      <c r="AK120" s="51">
        <f ca="1">SUM(AD120:AD$121,AG120:AG$121)/D120+SUM(AE121:AF$122,AH121:AH$121)/D120</f>
        <v>110385.94598575162</v>
      </c>
      <c r="AL120" s="51">
        <f>SUM(AE121:$AF$122)*$G$14/D120</f>
        <v>3311.5783795725488</v>
      </c>
      <c r="AM120" s="51"/>
      <c r="AN120" s="51">
        <f ca="1">-SUM(AD120:$AD$122,AH120:$AH$122)/D120</f>
        <v>-7281.3946574076908</v>
      </c>
      <c r="AO120" s="51">
        <f ca="1">-SUM(W120:$W$122,AA120:$AA$122)</f>
        <v>-7281.3946574076908</v>
      </c>
      <c r="AQ120" s="9">
        <f t="shared" ca="1" si="73"/>
        <v>271.55419940213324</v>
      </c>
      <c r="AR120" s="9">
        <f t="shared" si="74"/>
        <v>8.1466259820640516</v>
      </c>
      <c r="AS120" s="9">
        <f t="shared" ca="1" si="75"/>
        <v>0</v>
      </c>
    </row>
    <row r="121" spans="1:45" outlineLevel="1" x14ac:dyDescent="0.55000000000000004">
      <c r="A121" s="9"/>
      <c r="B121" s="1" t="s">
        <v>30</v>
      </c>
      <c r="C121" s="3">
        <v>20</v>
      </c>
      <c r="D121" s="87">
        <f t="shared" si="85"/>
        <v>0.93750789585251237</v>
      </c>
      <c r="E121" s="4"/>
      <c r="F121" s="111">
        <f t="shared" si="97"/>
        <v>0.59049000000000018</v>
      </c>
      <c r="G121" s="84">
        <f t="shared" si="98"/>
        <v>0.59837011741724044</v>
      </c>
      <c r="H121" s="153">
        <f t="shared" si="99"/>
        <v>0.5535890374219502</v>
      </c>
      <c r="I121" s="4"/>
      <c r="J121" s="115">
        <f t="shared" si="77"/>
        <v>1</v>
      </c>
      <c r="K121" s="155">
        <f t="shared" si="100"/>
        <v>0.05</v>
      </c>
      <c r="L121" s="154">
        <f t="shared" si="101"/>
        <v>0.59837011741724044</v>
      </c>
      <c r="M121" s="154">
        <f t="shared" si="102"/>
        <v>0.56097670972085789</v>
      </c>
      <c r="N121" s="4"/>
      <c r="O121" s="115">
        <f t="shared" si="78"/>
        <v>1</v>
      </c>
      <c r="P121" s="94">
        <f t="shared" si="103"/>
        <v>0.05</v>
      </c>
      <c r="Q121" s="154">
        <f t="shared" si="104"/>
        <v>0.59837011741724044</v>
      </c>
      <c r="R121" s="154">
        <f t="shared" si="105"/>
        <v>0.56097670972085789</v>
      </c>
      <c r="S121" s="51"/>
      <c r="T121" s="138">
        <f t="shared" si="79"/>
        <v>0</v>
      </c>
      <c r="U121" s="135">
        <f t="shared" si="94"/>
        <v>0</v>
      </c>
      <c r="W121" s="63">
        <f t="shared" si="80"/>
        <v>0</v>
      </c>
      <c r="X121" s="63">
        <f t="shared" si="95"/>
        <v>137232.93197801011</v>
      </c>
      <c r="Y121" s="63">
        <f t="shared" si="96"/>
        <v>-26572.050000000007</v>
      </c>
      <c r="Z121" s="63">
        <v>0</v>
      </c>
      <c r="AA121" s="63">
        <f t="shared" ca="1" si="81"/>
        <v>0</v>
      </c>
      <c r="AB121" s="64">
        <f t="shared" ca="1" si="69"/>
        <v>110660.8819780101</v>
      </c>
      <c r="AC121" s="51"/>
      <c r="AD121" s="51">
        <f t="shared" si="70"/>
        <v>0</v>
      </c>
      <c r="AE121" s="64">
        <f t="shared" si="82"/>
        <v>128656.95730037522</v>
      </c>
      <c r="AF121" s="64">
        <f t="shared" si="83"/>
        <v>-24911.506683987758</v>
      </c>
      <c r="AG121" s="51">
        <f t="shared" si="71"/>
        <v>0</v>
      </c>
      <c r="AH121" s="64">
        <f t="shared" ca="1" si="84"/>
        <v>0</v>
      </c>
      <c r="AI121" s="64">
        <f t="shared" ca="1" si="72"/>
        <v>103745.45061638746</v>
      </c>
      <c r="AJ121" s="57"/>
      <c r="AK121" s="51">
        <f ca="1">SUM(AD121:AD$121,AG121:AG$121)/D121+SUM(AE122:AF$122,AH$121:AH122)/D121</f>
        <v>0</v>
      </c>
      <c r="AL121" s="51">
        <f>SUM(AE122:$AF$122)*$G$14/D121</f>
        <v>0</v>
      </c>
      <c r="AM121" s="51"/>
      <c r="AN121" s="51">
        <f ca="1">-SUM(AD121:$AD$122,AH121:$AH$122)/D121</f>
        <v>0</v>
      </c>
      <c r="AO121" s="51">
        <f ca="1">-SUM(W121:$W$122,AA121:$AA$122)</f>
        <v>0</v>
      </c>
      <c r="AQ121" s="9">
        <f t="shared" ca="1" si="73"/>
        <v>0</v>
      </c>
      <c r="AR121" s="9">
        <f t="shared" si="74"/>
        <v>0</v>
      </c>
      <c r="AS121" s="9">
        <f t="shared" ca="1" si="75"/>
        <v>0</v>
      </c>
    </row>
    <row r="122" spans="1:45" outlineLevel="1" x14ac:dyDescent="0.55000000000000004">
      <c r="B122" s="8"/>
      <c r="C122" s="6"/>
      <c r="D122" s="7"/>
      <c r="E122" s="2"/>
      <c r="F122" s="112"/>
      <c r="G122" s="85"/>
      <c r="H122" s="79"/>
      <c r="I122" s="2"/>
      <c r="J122" s="6"/>
      <c r="K122" s="6"/>
      <c r="L122" s="71"/>
      <c r="M122" s="90"/>
      <c r="N122" s="2"/>
      <c r="O122" s="12"/>
      <c r="P122" s="12"/>
      <c r="Q122" s="50"/>
      <c r="R122" s="90"/>
      <c r="S122" s="55"/>
      <c r="T122" s="136"/>
      <c r="U122" s="136"/>
      <c r="W122" s="66"/>
      <c r="X122" s="66"/>
      <c r="Y122" s="66"/>
      <c r="Z122" s="66"/>
      <c r="AA122" s="66"/>
      <c r="AB122" s="66"/>
      <c r="AC122" s="55"/>
      <c r="AD122" s="67"/>
      <c r="AE122" s="68"/>
      <c r="AF122" s="68"/>
      <c r="AG122" s="67"/>
      <c r="AH122" s="67"/>
      <c r="AI122" s="68"/>
      <c r="AJ122" s="57"/>
      <c r="AK122" s="67"/>
      <c r="AL122" s="67"/>
      <c r="AM122" s="51"/>
      <c r="AN122" s="121"/>
      <c r="AO122" s="121"/>
      <c r="AQ122" s="67"/>
      <c r="AR122" s="67"/>
      <c r="AS122" s="67"/>
    </row>
    <row r="123" spans="1:45" outlineLevel="1" x14ac:dyDescent="0.55000000000000004">
      <c r="A123" s="9"/>
      <c r="B123" s="4"/>
      <c r="C123" s="4"/>
      <c r="D123" s="4"/>
      <c r="E123" s="4"/>
      <c r="F123" s="3"/>
      <c r="G123" s="3"/>
      <c r="H123" s="4"/>
      <c r="I123" s="4"/>
      <c r="J123" s="4"/>
      <c r="K123" s="4"/>
      <c r="L123" s="51"/>
      <c r="M123" s="51"/>
      <c r="N123" s="4"/>
      <c r="O123" s="4"/>
      <c r="P123" s="4"/>
      <c r="Q123" s="51"/>
      <c r="R123" s="51"/>
      <c r="S123" s="51"/>
      <c r="T123" s="4"/>
      <c r="U123" s="4"/>
      <c r="W123" s="51"/>
      <c r="X123" s="51"/>
      <c r="Y123" s="51"/>
      <c r="Z123" s="51"/>
      <c r="AA123" s="51"/>
      <c r="AB123" s="51"/>
      <c r="AC123" s="51"/>
      <c r="AD123" s="51"/>
      <c r="AE123" s="51"/>
      <c r="AF123" s="51"/>
      <c r="AG123" s="51"/>
      <c r="AH123" s="51"/>
      <c r="AI123" s="51"/>
      <c r="AJ123" s="57"/>
      <c r="AK123" s="51"/>
      <c r="AL123" s="51"/>
      <c r="AM123" s="51"/>
      <c r="AN123" s="70"/>
      <c r="AO123" s="70"/>
      <c r="AQ123" s="51"/>
      <c r="AR123" s="51"/>
      <c r="AS123" s="51"/>
    </row>
    <row r="124" spans="1:45" outlineLevel="1" x14ac:dyDescent="0.55000000000000004">
      <c r="A124" s="9"/>
      <c r="B124" s="24"/>
      <c r="C124" s="24"/>
      <c r="D124" s="25"/>
      <c r="E124" s="4"/>
      <c r="F124" s="26"/>
      <c r="G124" s="26"/>
      <c r="H124" s="26"/>
      <c r="I124" s="4"/>
      <c r="J124" s="80">
        <f>SUM(J102:J121)</f>
        <v>20</v>
      </c>
      <c r="K124" s="95">
        <f>SUM(K102:K121)</f>
        <v>1.0000000000000002</v>
      </c>
      <c r="L124" s="81">
        <f>SUM(L102:L121)</f>
        <v>15.028973846827309</v>
      </c>
      <c r="M124" s="81">
        <f>SUM(M102:M121)</f>
        <v>14.486368443692633</v>
      </c>
      <c r="N124" s="4"/>
      <c r="O124" s="80">
        <f>SUM(O102:O121)</f>
        <v>20</v>
      </c>
      <c r="P124" s="95">
        <f>SUM(P102:P121)</f>
        <v>1.0000000000000002</v>
      </c>
      <c r="Q124" s="81">
        <f>SUM(Q102:Q121)</f>
        <v>15.028973846827309</v>
      </c>
      <c r="R124" s="81">
        <f>SUM(R102:R121)</f>
        <v>14.486368443692633</v>
      </c>
      <c r="S124" s="52"/>
      <c r="T124" s="80">
        <f>SUM(T102:T121)</f>
        <v>1</v>
      </c>
      <c r="U124" s="95">
        <f>SUM(U102:U121)</f>
        <v>1</v>
      </c>
      <c r="W124" s="52">
        <f t="shared" ref="W124:AB124" si="106">SUM(W101:W121)</f>
        <v>-9000000</v>
      </c>
      <c r="X124" s="52">
        <f t="shared" si="106"/>
        <v>3623110.3670876105</v>
      </c>
      <c r="Y124" s="52">
        <f t="shared" si="106"/>
        <v>-778649.36724928406</v>
      </c>
      <c r="Z124" s="52">
        <f t="shared" si="106"/>
        <v>-900000</v>
      </c>
      <c r="AA124" s="52">
        <f t="shared" ca="1" si="106"/>
        <v>2144822.0189277129</v>
      </c>
      <c r="AB124" s="52">
        <f t="shared" ca="1" si="106"/>
        <v>-4910716.9812339619</v>
      </c>
      <c r="AC124" s="51"/>
      <c r="AD124" s="52">
        <f t="shared" ref="AD124:AI124" si="107">SUM(AD101:AD121)</f>
        <v>-9000000</v>
      </c>
      <c r="AE124" s="52">
        <f t="shared" si="107"/>
        <v>3495971.6452931538</v>
      </c>
      <c r="AF124" s="52">
        <f t="shared" si="107"/>
        <v>-752687.36623940594</v>
      </c>
      <c r="AG124" s="52">
        <f t="shared" si="107"/>
        <v>-900000</v>
      </c>
      <c r="AH124" s="52">
        <f t="shared" ca="1" si="107"/>
        <v>2104029.2204614365</v>
      </c>
      <c r="AI124" s="52">
        <f t="shared" ca="1" si="107"/>
        <v>-5052686.500484813</v>
      </c>
      <c r="AJ124" s="52"/>
      <c r="AK124" s="52"/>
      <c r="AL124" s="52"/>
      <c r="AM124" s="51"/>
      <c r="AN124" s="70"/>
      <c r="AO124" s="70"/>
      <c r="AQ124" s="52"/>
      <c r="AR124" s="52"/>
      <c r="AS124" s="52"/>
    </row>
    <row r="125" spans="1:45" ht="15.3" x14ac:dyDescent="0.55000000000000004">
      <c r="A125" s="9"/>
      <c r="B125" s="24"/>
      <c r="C125" s="24"/>
      <c r="D125" s="4"/>
      <c r="E125" s="4"/>
      <c r="F125" s="4"/>
      <c r="G125" s="4"/>
      <c r="H125" s="4"/>
      <c r="I125" s="4"/>
      <c r="J125" s="24"/>
      <c r="K125" s="24"/>
      <c r="L125" s="52"/>
      <c r="M125" s="52"/>
      <c r="N125" s="4"/>
      <c r="O125" s="24"/>
      <c r="P125" s="24"/>
      <c r="Q125" s="52"/>
      <c r="R125" s="52"/>
      <c r="S125" s="51"/>
      <c r="T125" s="52"/>
      <c r="U125" s="72"/>
      <c r="V125" s="72"/>
      <c r="W125" s="52"/>
      <c r="X125" s="52"/>
      <c r="Y125" s="52"/>
      <c r="Z125" s="51"/>
      <c r="AA125" s="52"/>
      <c r="AB125" s="73"/>
      <c r="AC125" s="73"/>
      <c r="AD125" s="52"/>
      <c r="AE125" s="52"/>
      <c r="AF125" s="52"/>
      <c r="AG125" s="57"/>
      <c r="AH125" s="52"/>
      <c r="AI125" s="52"/>
      <c r="AJ125" s="51"/>
      <c r="AK125" s="51"/>
      <c r="AL125" s="51"/>
    </row>
    <row r="126" spans="1:45" ht="15.3" x14ac:dyDescent="0.55000000000000004">
      <c r="A126" s="9"/>
      <c r="B126" s="24"/>
      <c r="C126" s="24"/>
      <c r="D126" s="4"/>
      <c r="E126" s="4"/>
      <c r="F126" s="4"/>
      <c r="G126" s="4"/>
      <c r="H126" s="4"/>
      <c r="I126" s="4"/>
      <c r="J126" s="24"/>
      <c r="K126" s="24"/>
      <c r="L126" s="52"/>
      <c r="M126" s="52"/>
      <c r="N126" s="4"/>
      <c r="O126" s="24"/>
      <c r="P126" s="24"/>
      <c r="Q126" s="52"/>
      <c r="R126" s="52"/>
      <c r="S126" s="51"/>
      <c r="T126" s="52"/>
      <c r="U126" s="72"/>
      <c r="V126" s="72"/>
      <c r="W126" s="52"/>
      <c r="X126" s="52"/>
      <c r="Y126" s="52"/>
      <c r="Z126" s="51"/>
      <c r="AA126" s="52"/>
      <c r="AB126" s="73"/>
      <c r="AC126" s="73"/>
      <c r="AD126" s="52"/>
      <c r="AE126" s="52"/>
      <c r="AF126" s="52"/>
      <c r="AG126" s="57"/>
      <c r="AH126" s="52"/>
      <c r="AI126" s="52"/>
      <c r="AJ126" s="51"/>
      <c r="AK126" s="51"/>
      <c r="AL126" s="51"/>
    </row>
    <row r="127" spans="1:45" ht="18.3" x14ac:dyDescent="0.55000000000000004">
      <c r="A127" s="2"/>
      <c r="B127" s="143" t="s">
        <v>167</v>
      </c>
      <c r="C127" s="107"/>
      <c r="D127" s="108"/>
      <c r="H127" s="105"/>
      <c r="J127" s="2"/>
      <c r="K127" s="2"/>
      <c r="N127" s="2"/>
      <c r="O127" s="2"/>
      <c r="P127" s="2"/>
      <c r="Q127" s="2"/>
      <c r="S127" s="2"/>
      <c r="T127" s="2"/>
      <c r="U127" s="2"/>
      <c r="V127" s="2"/>
      <c r="W127" s="2"/>
      <c r="X127" s="2"/>
      <c r="Y127" s="2"/>
      <c r="Z127" s="2"/>
      <c r="AA127" s="22"/>
      <c r="AB127" s="2"/>
      <c r="AC127" s="2"/>
      <c r="AD127" s="2"/>
      <c r="AE127" s="2"/>
      <c r="AF127" s="2"/>
      <c r="AG127" s="21"/>
      <c r="AH127" s="2"/>
      <c r="AI127" s="2"/>
      <c r="AJ127" s="2"/>
      <c r="AK127" s="2"/>
      <c r="AL127" s="2"/>
    </row>
    <row r="128" spans="1:45" s="2" customFormat="1" outlineLevel="1" x14ac:dyDescent="0.55000000000000004">
      <c r="A128"/>
      <c r="B128"/>
      <c r="C128"/>
      <c r="AL128" s="70"/>
      <c r="AM128" s="70"/>
      <c r="AN128" s="70"/>
    </row>
    <row r="129" spans="1:48" s="2" customFormat="1" ht="19.899999999999999" customHeight="1" outlineLevel="1" x14ac:dyDescent="0.55000000000000004">
      <c r="A129"/>
      <c r="B129" s="185" t="s">
        <v>150</v>
      </c>
      <c r="C129" s="185"/>
      <c r="D129" s="13"/>
      <c r="E129" s="186" t="s">
        <v>140</v>
      </c>
      <c r="F129" s="186"/>
      <c r="G129" s="186"/>
      <c r="H129" s="186"/>
      <c r="I129" s="186"/>
      <c r="J129" s="186"/>
      <c r="K129" s="186"/>
      <c r="L129" s="186"/>
      <c r="M129" s="186"/>
      <c r="O129" s="186" t="s">
        <v>326</v>
      </c>
      <c r="P129" s="186"/>
      <c r="Q129" s="186"/>
      <c r="R129" s="186"/>
      <c r="S129" s="186"/>
      <c r="T129" s="186"/>
      <c r="U129" s="186"/>
      <c r="W129" s="186" t="s">
        <v>141</v>
      </c>
      <c r="X129" s="186"/>
      <c r="Y129" s="186"/>
      <c r="Z129" s="186"/>
      <c r="AA129" s="186"/>
      <c r="AB129" s="186"/>
      <c r="AC129" s="186"/>
      <c r="AD129" s="109"/>
      <c r="AE129" s="182"/>
      <c r="AF129" s="182"/>
      <c r="AG129" s="182"/>
      <c r="AH129" s="182"/>
      <c r="AI129" s="182"/>
      <c r="AJ129" s="182"/>
      <c r="AK129" s="182"/>
      <c r="AM129" s="70"/>
      <c r="AN129" s="70"/>
      <c r="AO129" s="70"/>
    </row>
    <row r="130" spans="1:48" s="2" customFormat="1" ht="30.6" customHeight="1" outlineLevel="1" x14ac:dyDescent="0.55000000000000004">
      <c r="A130"/>
      <c r="B130" s="145" t="s">
        <v>145</v>
      </c>
      <c r="C130" s="145" t="s">
        <v>10</v>
      </c>
      <c r="D130" s="13"/>
      <c r="E130" s="76" t="s">
        <v>11</v>
      </c>
      <c r="F130" s="76" t="s">
        <v>338</v>
      </c>
      <c r="G130" s="76" t="s">
        <v>339</v>
      </c>
      <c r="H130" s="76" t="s">
        <v>13</v>
      </c>
      <c r="I130" s="76" t="s">
        <v>340</v>
      </c>
      <c r="J130" s="76" t="s">
        <v>119</v>
      </c>
      <c r="K130" s="76" t="s">
        <v>341</v>
      </c>
      <c r="L130" s="76" t="s">
        <v>342</v>
      </c>
      <c r="M130" s="76" t="s">
        <v>14</v>
      </c>
      <c r="O130" s="76" t="s">
        <v>11</v>
      </c>
      <c r="P130" s="76" t="s">
        <v>338</v>
      </c>
      <c r="Q130" s="76" t="s">
        <v>13</v>
      </c>
      <c r="R130" s="76" t="s">
        <v>133</v>
      </c>
      <c r="S130" s="76" t="s">
        <v>341</v>
      </c>
      <c r="T130" s="76" t="s">
        <v>144</v>
      </c>
      <c r="U130" s="76" t="s">
        <v>14</v>
      </c>
      <c r="W130" s="76" t="s">
        <v>11</v>
      </c>
      <c r="X130" s="76" t="s">
        <v>338</v>
      </c>
      <c r="Y130" s="76" t="s">
        <v>13</v>
      </c>
      <c r="Z130" s="171" t="s">
        <v>386</v>
      </c>
      <c r="AA130" s="76" t="s">
        <v>341</v>
      </c>
      <c r="AB130" s="76" t="s">
        <v>133</v>
      </c>
      <c r="AC130" s="76" t="s">
        <v>14</v>
      </c>
      <c r="AD130" s="148"/>
      <c r="AE130" s="161"/>
      <c r="AF130" s="161"/>
      <c r="AG130" s="161"/>
      <c r="AH130" s="161"/>
      <c r="AI130" s="161"/>
      <c r="AJ130" s="161"/>
      <c r="AK130" s="161"/>
      <c r="AM130" s="70"/>
      <c r="AN130" s="70"/>
      <c r="AO130" s="70"/>
    </row>
    <row r="131" spans="1:48" s="2" customFormat="1" outlineLevel="1" x14ac:dyDescent="0.55000000000000004">
      <c r="A131" s="19"/>
      <c r="B131" s="15" t="s">
        <v>269</v>
      </c>
      <c r="C131" s="15" t="s">
        <v>270</v>
      </c>
      <c r="D131" s="13"/>
      <c r="E131" s="16" t="s">
        <v>271</v>
      </c>
      <c r="F131" s="16" t="s">
        <v>272</v>
      </c>
      <c r="G131" s="16" t="s">
        <v>273</v>
      </c>
      <c r="H131" s="16" t="s">
        <v>274</v>
      </c>
      <c r="I131" s="16" t="s">
        <v>275</v>
      </c>
      <c r="J131" s="16" t="s">
        <v>276</v>
      </c>
      <c r="K131" s="16" t="s">
        <v>277</v>
      </c>
      <c r="L131" s="16" t="s">
        <v>278</v>
      </c>
      <c r="M131" s="16" t="s">
        <v>279</v>
      </c>
      <c r="O131" s="16" t="s">
        <v>280</v>
      </c>
      <c r="P131" s="16" t="s">
        <v>281</v>
      </c>
      <c r="Q131" s="16" t="s">
        <v>282</v>
      </c>
      <c r="R131" s="16" t="s">
        <v>283</v>
      </c>
      <c r="S131" s="16" t="s">
        <v>284</v>
      </c>
      <c r="T131" s="16" t="s">
        <v>285</v>
      </c>
      <c r="U131" s="16" t="s">
        <v>286</v>
      </c>
      <c r="W131" s="16" t="s">
        <v>287</v>
      </c>
      <c r="X131" s="16" t="s">
        <v>288</v>
      </c>
      <c r="Y131" s="16" t="s">
        <v>289</v>
      </c>
      <c r="Z131" s="16" t="s">
        <v>290</v>
      </c>
      <c r="AA131" s="16" t="s">
        <v>291</v>
      </c>
      <c r="AB131" s="16" t="s">
        <v>292</v>
      </c>
      <c r="AC131" s="16" t="s">
        <v>385</v>
      </c>
      <c r="AE131" s="149"/>
      <c r="AF131" s="149"/>
      <c r="AG131" s="149"/>
      <c r="AH131" s="149"/>
      <c r="AI131" s="149"/>
      <c r="AJ131" s="149"/>
      <c r="AK131" s="149"/>
      <c r="AM131" s="70"/>
      <c r="AN131" s="70"/>
      <c r="AO131" s="70"/>
    </row>
    <row r="132" spans="1:48" s="2" customFormat="1" outlineLevel="1" x14ac:dyDescent="0.55000000000000004">
      <c r="A132"/>
      <c r="B132" s="1"/>
      <c r="C132" s="3">
        <v>0</v>
      </c>
      <c r="D132" s="13"/>
      <c r="E132" s="63"/>
      <c r="F132" s="63"/>
      <c r="G132" s="63"/>
      <c r="H132" s="63"/>
      <c r="I132" s="63"/>
      <c r="K132" s="63"/>
      <c r="L132" s="63"/>
      <c r="M132" s="63"/>
      <c r="O132" s="63"/>
      <c r="P132" s="63"/>
      <c r="Q132" s="4"/>
      <c r="R132" s="4"/>
      <c r="S132" s="4"/>
      <c r="T132" s="63"/>
      <c r="U132" s="4"/>
      <c r="W132" s="63"/>
      <c r="X132" s="4"/>
      <c r="Y132" s="4"/>
      <c r="Z132" s="4"/>
      <c r="AA132" s="4"/>
      <c r="AB132" s="4"/>
      <c r="AC132" s="4"/>
      <c r="AD132" s="109"/>
      <c r="AE132" s="162"/>
      <c r="AF132" s="163"/>
      <c r="AG132" s="163"/>
      <c r="AH132" s="164"/>
      <c r="AI132" s="163"/>
      <c r="AJ132" s="163"/>
      <c r="AK132" s="163"/>
      <c r="AM132" s="70"/>
      <c r="AN132" s="70"/>
      <c r="AO132" s="70"/>
    </row>
    <row r="133" spans="1:48" s="2" customFormat="1" outlineLevel="1" x14ac:dyDescent="0.55000000000000004">
      <c r="A133" s="9"/>
      <c r="B133" s="1" t="s">
        <v>6</v>
      </c>
      <c r="C133" s="3">
        <v>1</v>
      </c>
      <c r="D133" s="13"/>
      <c r="E133" s="63">
        <f t="shared" ref="E133:E144" si="108">IF(C133=1,0,M132)</f>
        <v>0</v>
      </c>
      <c r="F133" s="63">
        <f t="shared" ref="F133:F152" ca="1" si="109">IF($C133=1,$AK$39,0)</f>
        <v>-4234766.1535662161</v>
      </c>
      <c r="G133" s="63">
        <f t="shared" ref="G133:G152" si="110">IF($C133&lt;=$F$8,-(W39+Z39),-(W101+Z101))</f>
        <v>9900000</v>
      </c>
      <c r="H133" s="63">
        <f t="shared" ref="H133:H144" ca="1" si="111">SUM(E133:G133)*((1+IF($C133&lt;=$F$8,$F$17,$G$17))^(1/4)-1)</f>
        <v>28116.167926049155</v>
      </c>
      <c r="I133" s="63">
        <f t="shared" ref="I133:I152" si="112">IF($C133&lt;=$F$8,-(X40+Y40),-(X102+Y102))</f>
        <v>-192148.67136994711</v>
      </c>
      <c r="J133" s="63">
        <f t="shared" ref="J133:J152" ca="1" si="113">IF($C133&lt;=$F$8,-(AA40),-(AA102))</f>
        <v>-463909.24302284658</v>
      </c>
      <c r="K133" s="63">
        <f t="shared" ref="K133:K152" si="114">IF($C133=$F$8,AQ71,0)</f>
        <v>0</v>
      </c>
      <c r="L133" s="63">
        <f t="shared" ref="L133:L152" si="115">IF($C133=$F$8,AQ102,0)</f>
        <v>0</v>
      </c>
      <c r="M133" s="63">
        <f t="shared" ref="M133:M144" ca="1" si="116">SUM(E133:L133)</f>
        <v>5037292.0999670383</v>
      </c>
      <c r="N133" s="123"/>
      <c r="O133" s="63">
        <f t="shared" ref="O133:O144" si="117">IF(C133=1,0,U132)</f>
        <v>0</v>
      </c>
      <c r="P133" s="63">
        <f t="shared" ref="P133:P152" si="118">IF($C133=1,$AL$39,0)</f>
        <v>116969.28841433441</v>
      </c>
      <c r="Q133" s="4">
        <f t="shared" ref="Q133:Q144" si="119">SUM(O133:P133)*((1+IF($C133&lt;=$F$8,$F$17,$G$17))^(1/4)-1)</f>
        <v>580.51057456668423</v>
      </c>
      <c r="R133" s="4">
        <f>U133-SUM(S133:T133,O133:Q133)</f>
        <v>-9607.4335684972903</v>
      </c>
      <c r="S133" s="4">
        <f t="shared" ref="S133:S152" si="120">IF($C133=$F$8,AR71,0)</f>
        <v>0</v>
      </c>
      <c r="T133" s="63">
        <f t="shared" ref="T133:T152" si="121">IF($C133=$F$8,AR102,0)</f>
        <v>0</v>
      </c>
      <c r="U133" s="4">
        <f t="shared" ref="U133:U152" si="122">IF(C133&lt;$F$8,AL40,AL102)</f>
        <v>107942.3654204038</v>
      </c>
      <c r="V133" s="123"/>
      <c r="W133" s="63">
        <f t="shared" ref="W133:W152" si="123">IF(C133=1,0,AC132)</f>
        <v>0</v>
      </c>
      <c r="X133" s="4">
        <f ca="1">IF($C133=1,-F133-P133,0)</f>
        <v>4117796.8651518817</v>
      </c>
      <c r="Y133" s="4">
        <f ca="1">SUM(W133:X133)*((1+$F$17)^(1/4)-1)</f>
        <v>20436.344074101991</v>
      </c>
      <c r="Z133" s="4">
        <f>IF(AND(C133=$F$8,F29="yes"),-(W71-W40),0)</f>
        <v>0</v>
      </c>
      <c r="AA133" s="4">
        <f t="shared" ref="AA133:AA152" si="124">IF($C133=$F$8,-K133-S133,0)</f>
        <v>0</v>
      </c>
      <c r="AB133" s="4">
        <f ca="1">-SUM(W133:AA133)*IFERROR(IF(C133&lt;$F$8,IF($F$23="yes",M40/SUM(M40:$M$60),L40/SUM(L40:$L$60)),IF($F$23="yes",M71/SUM(M71:$M$91),L71/SUM(L71:$L$91))),0)</f>
        <v>-346783.0832316149</v>
      </c>
      <c r="AC133" s="4">
        <f t="shared" ref="AC133:AC152" ca="1" si="125">SUM(W133:AB133)</f>
        <v>3791450.1259943689</v>
      </c>
      <c r="AD133" s="123"/>
      <c r="AE133" s="162"/>
      <c r="AF133" s="163"/>
      <c r="AG133" s="162"/>
      <c r="AH133" s="163"/>
      <c r="AI133" s="163"/>
      <c r="AJ133" s="163"/>
      <c r="AK133" s="163"/>
      <c r="AL133" s="123"/>
      <c r="AM133" s="70"/>
      <c r="AN133" s="70"/>
      <c r="AO133" s="70"/>
      <c r="AQ133" s="124"/>
      <c r="AR133" s="4"/>
      <c r="AT133" s="125"/>
      <c r="AV133" s="4"/>
    </row>
    <row r="134" spans="1:48" s="2" customFormat="1" outlineLevel="1" x14ac:dyDescent="0.55000000000000004">
      <c r="A134" s="9"/>
      <c r="B134" s="1" t="s">
        <v>7</v>
      </c>
      <c r="C134" s="3">
        <v>2</v>
      </c>
      <c r="D134" s="13"/>
      <c r="E134" s="63">
        <f t="shared" ca="1" si="108"/>
        <v>5037292.0999670383</v>
      </c>
      <c r="F134" s="63">
        <f t="shared" si="109"/>
        <v>0</v>
      </c>
      <c r="G134" s="63">
        <f t="shared" si="110"/>
        <v>0</v>
      </c>
      <c r="H134" s="63">
        <f t="shared" ca="1" si="111"/>
        <v>24999.736006376595</v>
      </c>
      <c r="I134" s="63">
        <f t="shared" si="112"/>
        <v>-182325.97919334337</v>
      </c>
      <c r="J134" s="63">
        <f t="shared" ca="1" si="113"/>
        <v>-415646.7858264058</v>
      </c>
      <c r="K134" s="63">
        <f t="shared" si="114"/>
        <v>0</v>
      </c>
      <c r="L134" s="63">
        <f t="shared" si="115"/>
        <v>0</v>
      </c>
      <c r="M134" s="63">
        <f t="shared" ca="1" si="116"/>
        <v>4464319.0709536653</v>
      </c>
      <c r="N134" s="123"/>
      <c r="O134" s="63">
        <f t="shared" si="117"/>
        <v>107942.3654204038</v>
      </c>
      <c r="P134" s="63">
        <f t="shared" si="118"/>
        <v>0</v>
      </c>
      <c r="Q134" s="4">
        <f t="shared" si="119"/>
        <v>535.71057343122641</v>
      </c>
      <c r="R134" s="4">
        <f t="shared" ref="R134:R144" si="126">U134-SUM(S134:T134,O134:Q134)</f>
        <v>-9116.2989596671832</v>
      </c>
      <c r="S134" s="4">
        <f t="shared" si="120"/>
        <v>0</v>
      </c>
      <c r="T134" s="63">
        <f t="shared" si="121"/>
        <v>0</v>
      </c>
      <c r="U134" s="4">
        <f t="shared" si="122"/>
        <v>99361.777034167841</v>
      </c>
      <c r="V134" s="123"/>
      <c r="W134" s="63">
        <f t="shared" ca="1" si="123"/>
        <v>3791450.1259943689</v>
      </c>
      <c r="X134" s="4">
        <f t="shared" ref="X134:X152" si="127">IF($C134=1,-F134-P134,0)</f>
        <v>0</v>
      </c>
      <c r="Y134" s="4">
        <f t="shared" ref="Y134:Y144" ca="1" si="128">SUM(W134:X134)*((1+$F$17)^(1/4)-1)</f>
        <v>18816.707538525061</v>
      </c>
      <c r="Z134" s="4">
        <f t="shared" ref="Z134:Z152" si="129">IF(AND(C134=$F$8,F30="yes"),-(W72-W41),0)</f>
        <v>0</v>
      </c>
      <c r="AA134" s="4">
        <f t="shared" si="124"/>
        <v>0</v>
      </c>
      <c r="AB134" s="4">
        <f ca="1">-SUM(W134:AA134)*IFERROR(IF(C134&lt;$F$8,IF($F$23="yes",M41/SUM(M41:$M$60),L41/SUM(L41:$L$60)),IF($F$23="yes",M72/SUM(M72:$M$91),L72/SUM(L72:$L$91))),0)</f>
        <v>-327967.1911105499</v>
      </c>
      <c r="AC134" s="4">
        <f t="shared" ca="1" si="125"/>
        <v>3482299.6424223441</v>
      </c>
      <c r="AD134" s="123"/>
      <c r="AE134" s="162"/>
      <c r="AF134" s="163"/>
      <c r="AG134" s="162"/>
      <c r="AH134" s="163"/>
      <c r="AI134" s="163"/>
      <c r="AJ134" s="163"/>
      <c r="AK134" s="163"/>
      <c r="AL134" s="123"/>
      <c r="AM134" s="70"/>
      <c r="AN134" s="70"/>
      <c r="AO134" s="70"/>
      <c r="AP134" s="22"/>
      <c r="AQ134" s="124"/>
      <c r="AR134" s="45"/>
      <c r="AT134" s="125"/>
      <c r="AV134" s="4"/>
    </row>
    <row r="135" spans="1:48" s="2" customFormat="1" outlineLevel="1" x14ac:dyDescent="0.55000000000000004">
      <c r="A135" s="9"/>
      <c r="B135" s="1" t="s">
        <v>8</v>
      </c>
      <c r="C135" s="3">
        <v>3</v>
      </c>
      <c r="D135" s="13"/>
      <c r="E135" s="63">
        <f t="shared" ca="1" si="108"/>
        <v>4464319.0709536653</v>
      </c>
      <c r="F135" s="63">
        <f t="shared" si="109"/>
        <v>0</v>
      </c>
      <c r="G135" s="63">
        <f t="shared" si="110"/>
        <v>0</v>
      </c>
      <c r="H135" s="63">
        <f t="shared" ca="1" si="111"/>
        <v>22156.110070091898</v>
      </c>
      <c r="I135" s="63">
        <f t="shared" si="112"/>
        <v>-173004.95381904673</v>
      </c>
      <c r="J135" s="63">
        <f t="shared" ca="1" si="113"/>
        <v>-371255.87889310409</v>
      </c>
      <c r="K135" s="63">
        <f t="shared" si="114"/>
        <v>0</v>
      </c>
      <c r="L135" s="63">
        <f t="shared" si="115"/>
        <v>0</v>
      </c>
      <c r="M135" s="63">
        <f t="shared" ca="1" si="116"/>
        <v>3942214.3483116063</v>
      </c>
      <c r="N135" s="123"/>
      <c r="O135" s="63">
        <f t="shared" si="117"/>
        <v>99361.777034167841</v>
      </c>
      <c r="P135" s="63">
        <f t="shared" si="118"/>
        <v>0</v>
      </c>
      <c r="Q135" s="4">
        <f t="shared" si="119"/>
        <v>493.12570041250996</v>
      </c>
      <c r="R135" s="4">
        <f t="shared" si="126"/>
        <v>-8650.2476909523102</v>
      </c>
      <c r="S135" s="4">
        <f t="shared" si="120"/>
        <v>0</v>
      </c>
      <c r="T135" s="63">
        <f t="shared" si="121"/>
        <v>0</v>
      </c>
      <c r="U135" s="4">
        <f t="shared" si="122"/>
        <v>91204.655043628038</v>
      </c>
      <c r="V135" s="123"/>
      <c r="W135" s="63">
        <f t="shared" ca="1" si="123"/>
        <v>3482299.6424223441</v>
      </c>
      <c r="X135" s="4">
        <f t="shared" si="127"/>
        <v>0</v>
      </c>
      <c r="Y135" s="4">
        <f t="shared" ca="1" si="128"/>
        <v>17282.41484273423</v>
      </c>
      <c r="Z135" s="4">
        <f t="shared" si="129"/>
        <v>0</v>
      </c>
      <c r="AA135" s="4">
        <f t="shared" si="124"/>
        <v>0</v>
      </c>
      <c r="AB135" s="4">
        <f ca="1">-SUM(W135:AA135)*IFERROR(IF(C135&lt;$F$8,IF($F$23="yes",M42/SUM(M42:$M$60),L42/SUM(L42:$L$60)),IF($F$23="yes",M73/SUM(M73:$M$91),L73/SUM(L73:$L$91))),0)</f>
        <v>-310172.21902114339</v>
      </c>
      <c r="AC135" s="4">
        <f t="shared" ca="1" si="125"/>
        <v>3189409.8382439348</v>
      </c>
      <c r="AD135" s="123"/>
      <c r="AE135" s="162"/>
      <c r="AF135" s="163"/>
      <c r="AG135" s="162"/>
      <c r="AH135" s="163"/>
      <c r="AI135" s="163"/>
      <c r="AJ135" s="163"/>
      <c r="AK135" s="163"/>
      <c r="AL135" s="123"/>
      <c r="AM135" s="70"/>
      <c r="AN135" s="70"/>
      <c r="AO135" s="70"/>
      <c r="AP135" s="22"/>
      <c r="AQ135" s="124"/>
      <c r="AT135" s="125"/>
      <c r="AV135" s="4"/>
    </row>
    <row r="136" spans="1:48" s="2" customFormat="1" outlineLevel="1" x14ac:dyDescent="0.55000000000000004">
      <c r="A136" s="9"/>
      <c r="B136" s="1" t="s">
        <v>9</v>
      </c>
      <c r="C136" s="3">
        <v>4</v>
      </c>
      <c r="D136" s="13"/>
      <c r="E136" s="63">
        <f t="shared" ca="1" si="108"/>
        <v>3942214.3483116063</v>
      </c>
      <c r="F136" s="63">
        <f t="shared" si="109"/>
        <v>0</v>
      </c>
      <c r="G136" s="63">
        <f t="shared" si="110"/>
        <v>0</v>
      </c>
      <c r="H136" s="63">
        <f t="shared" ca="1" si="111"/>
        <v>19564.9400575728</v>
      </c>
      <c r="I136" s="63">
        <f t="shared" si="112"/>
        <v>-164160</v>
      </c>
      <c r="J136" s="63">
        <f t="shared" ca="1" si="113"/>
        <v>-330458.47741764889</v>
      </c>
      <c r="K136" s="63">
        <f t="shared" si="114"/>
        <v>0</v>
      </c>
      <c r="L136" s="63">
        <f t="shared" si="115"/>
        <v>0</v>
      </c>
      <c r="M136" s="63">
        <f t="shared" ca="1" si="116"/>
        <v>3467160.8109515305</v>
      </c>
      <c r="N136" s="123"/>
      <c r="O136" s="63">
        <f t="shared" si="117"/>
        <v>91204.655043628038</v>
      </c>
      <c r="P136" s="63">
        <f t="shared" si="118"/>
        <v>0</v>
      </c>
      <c r="Q136" s="4">
        <f t="shared" si="119"/>
        <v>452.64246213918477</v>
      </c>
      <c r="R136" s="4">
        <f t="shared" si="126"/>
        <v>-8207.9999999999854</v>
      </c>
      <c r="S136" s="4">
        <f t="shared" si="120"/>
        <v>0</v>
      </c>
      <c r="T136" s="63">
        <f t="shared" si="121"/>
        <v>0</v>
      </c>
      <c r="U136" s="4">
        <f t="shared" si="122"/>
        <v>83449.29750576723</v>
      </c>
      <c r="V136" s="123"/>
      <c r="W136" s="63">
        <f t="shared" ca="1" si="123"/>
        <v>3189409.8382439348</v>
      </c>
      <c r="X136" s="4">
        <f t="shared" si="127"/>
        <v>0</v>
      </c>
      <c r="Y136" s="4">
        <f t="shared" ca="1" si="128"/>
        <v>15828.822786107718</v>
      </c>
      <c r="Z136" s="4">
        <f t="shared" si="129"/>
        <v>0</v>
      </c>
      <c r="AA136" s="4">
        <f t="shared" si="124"/>
        <v>0</v>
      </c>
      <c r="AB136" s="4">
        <f ca="1">-SUM(W136:AA136)*IFERROR(IF(C136&lt;$F$8,IF($F$23="yes",M43/SUM(M43:$M$60),L43/SUM(L43:$L$60)),IF($F$23="yes",M74/SUM(M74:$M$91),L74/SUM(L74:$L$91))),0)</f>
        <v>-293342.77348514169</v>
      </c>
      <c r="AC136" s="4">
        <f t="shared" ca="1" si="125"/>
        <v>2911895.8875449006</v>
      </c>
      <c r="AD136" s="123"/>
      <c r="AE136" s="162"/>
      <c r="AF136" s="163"/>
      <c r="AG136" s="162"/>
      <c r="AH136" s="163"/>
      <c r="AI136" s="163"/>
      <c r="AJ136" s="163"/>
      <c r="AK136" s="163"/>
      <c r="AL136" s="123"/>
      <c r="AM136" s="70"/>
      <c r="AN136" s="70"/>
      <c r="AO136" s="70"/>
      <c r="AP136" s="22"/>
      <c r="AQ136" s="124"/>
      <c r="AT136" s="125"/>
      <c r="AV136" s="4"/>
    </row>
    <row r="137" spans="1:48" s="55" customFormat="1" outlineLevel="1" x14ac:dyDescent="0.55000000000000004">
      <c r="A137" s="89"/>
      <c r="B137" s="1" t="s">
        <v>15</v>
      </c>
      <c r="C137" s="3">
        <v>5</v>
      </c>
      <c r="D137" s="118"/>
      <c r="E137" s="63">
        <f t="shared" ca="1" si="108"/>
        <v>3467160.8109515305</v>
      </c>
      <c r="F137" s="63">
        <f t="shared" si="109"/>
        <v>0</v>
      </c>
      <c r="G137" s="63">
        <f t="shared" si="110"/>
        <v>0</v>
      </c>
      <c r="H137" s="63">
        <f t="shared" ca="1" si="111"/>
        <v>17207.281858046317</v>
      </c>
      <c r="I137" s="63">
        <f t="shared" si="112"/>
        <v>-155766.82693577898</v>
      </c>
      <c r="J137" s="63">
        <f t="shared" ca="1" si="113"/>
        <v>-292995.31138285052</v>
      </c>
      <c r="K137" s="63">
        <f t="shared" si="114"/>
        <v>0</v>
      </c>
      <c r="L137" s="63">
        <f t="shared" si="115"/>
        <v>0</v>
      </c>
      <c r="M137" s="63">
        <f t="shared" ca="1" si="116"/>
        <v>3035605.9544909475</v>
      </c>
      <c r="N137" s="123"/>
      <c r="O137" s="63">
        <f t="shared" si="117"/>
        <v>83449.29750576723</v>
      </c>
      <c r="P137" s="63">
        <f t="shared" si="118"/>
        <v>0</v>
      </c>
      <c r="Q137" s="51">
        <f t="shared" si="119"/>
        <v>414.1531533530511</v>
      </c>
      <c r="R137" s="51">
        <f t="shared" si="126"/>
        <v>-7788.3413467889623</v>
      </c>
      <c r="S137" s="51">
        <f t="shared" si="120"/>
        <v>0</v>
      </c>
      <c r="T137" s="63">
        <f t="shared" si="121"/>
        <v>0</v>
      </c>
      <c r="U137" s="51">
        <f t="shared" si="122"/>
        <v>76075.109312331319</v>
      </c>
      <c r="V137" s="123"/>
      <c r="W137" s="63">
        <f t="shared" ca="1" si="123"/>
        <v>2911895.8875449006</v>
      </c>
      <c r="X137" s="4">
        <f t="shared" si="127"/>
        <v>0</v>
      </c>
      <c r="Y137" s="51">
        <f t="shared" ca="1" si="128"/>
        <v>14451.540038178951</v>
      </c>
      <c r="Z137" s="4">
        <f t="shared" si="129"/>
        <v>0</v>
      </c>
      <c r="AA137" s="4">
        <f t="shared" si="124"/>
        <v>0</v>
      </c>
      <c r="AB137" s="51">
        <f ca="1">-SUM(W137:AA137)*IFERROR(IF(C137&lt;$F$8,IF($F$23="yes",M44/SUM(M44:$M$60),L44/SUM(L44:$L$60)),IF($F$23="yes",M75/SUM(M75:$M$91),L75/SUM(L75:$L$91))),0)</f>
        <v>-277426.46658529202</v>
      </c>
      <c r="AC137" s="51">
        <f t="shared" ca="1" si="125"/>
        <v>2648920.9609977878</v>
      </c>
      <c r="AD137" s="123"/>
      <c r="AE137" s="162"/>
      <c r="AF137" s="165"/>
      <c r="AG137" s="162"/>
      <c r="AH137" s="163"/>
      <c r="AI137" s="165"/>
      <c r="AJ137" s="165"/>
      <c r="AK137" s="165"/>
      <c r="AL137" s="123"/>
      <c r="AM137" s="70"/>
      <c r="AN137" s="70"/>
      <c r="AO137" s="70"/>
      <c r="AP137" s="22"/>
      <c r="AQ137" s="124"/>
      <c r="AT137" s="125"/>
      <c r="AU137" s="2"/>
      <c r="AV137" s="4"/>
    </row>
    <row r="138" spans="1:48" s="2" customFormat="1" outlineLevel="1" x14ac:dyDescent="0.55000000000000004">
      <c r="A138" s="9"/>
      <c r="B138" s="1" t="s">
        <v>16</v>
      </c>
      <c r="C138" s="3">
        <v>6</v>
      </c>
      <c r="D138" s="13"/>
      <c r="E138" s="63">
        <f t="shared" ca="1" si="108"/>
        <v>3035605.9544909475</v>
      </c>
      <c r="F138" s="63">
        <f t="shared" si="109"/>
        <v>0</v>
      </c>
      <c r="G138" s="63">
        <f t="shared" si="110"/>
        <v>0</v>
      </c>
      <c r="H138" s="63">
        <f t="shared" ca="1" si="111"/>
        <v>15065.504635348647</v>
      </c>
      <c r="I138" s="63">
        <f t="shared" si="112"/>
        <v>-147802.3818713614</v>
      </c>
      <c r="J138" s="63">
        <f t="shared" ca="1" si="113"/>
        <v>-258624.6667364304</v>
      </c>
      <c r="K138" s="63">
        <f t="shared" si="114"/>
        <v>0</v>
      </c>
      <c r="L138" s="63">
        <f t="shared" si="115"/>
        <v>0</v>
      </c>
      <c r="M138" s="63">
        <f t="shared" ca="1" si="116"/>
        <v>2644244.4105185042</v>
      </c>
      <c r="N138" s="123"/>
      <c r="O138" s="63">
        <f t="shared" si="117"/>
        <v>76075.109312331319</v>
      </c>
      <c r="P138" s="63">
        <f t="shared" si="118"/>
        <v>0</v>
      </c>
      <c r="Q138" s="4">
        <f t="shared" si="119"/>
        <v>377.55556194110119</v>
      </c>
      <c r="R138" s="4">
        <f>U138-SUM(S138:T138,O138:Q138)</f>
        <v>-7390.1190935680643</v>
      </c>
      <c r="S138" s="4">
        <f t="shared" si="120"/>
        <v>0</v>
      </c>
      <c r="T138" s="63">
        <f t="shared" si="121"/>
        <v>0</v>
      </c>
      <c r="U138" s="4">
        <f t="shared" si="122"/>
        <v>69062.545780704357</v>
      </c>
      <c r="V138" s="123"/>
      <c r="W138" s="63">
        <f t="shared" ca="1" si="123"/>
        <v>2648920.9609977878</v>
      </c>
      <c r="X138" s="4">
        <f t="shared" si="127"/>
        <v>0</v>
      </c>
      <c r="Y138" s="4">
        <f t="shared" ca="1" si="128"/>
        <v>13146.413472257329</v>
      </c>
      <c r="Z138" s="4">
        <f t="shared" si="129"/>
        <v>0</v>
      </c>
      <c r="AA138" s="4">
        <f t="shared" si="124"/>
        <v>0</v>
      </c>
      <c r="AB138" s="4">
        <f ca="1">-SUM(W138:AA138)*IFERROR(IF(C138&lt;$F$8,IF($F$23="yes",M45/SUM(M45:$M$60),L45/SUM(L45:$L$60)),IF($F$23="yes",M76/SUM(M76:$M$91),L76/SUM(L76:$L$91))),0)</f>
        <v>-262373.75288843998</v>
      </c>
      <c r="AC138" s="4">
        <f t="shared" ca="1" si="125"/>
        <v>2399693.6215816052</v>
      </c>
      <c r="AD138" s="123"/>
      <c r="AE138" s="162"/>
      <c r="AF138" s="163"/>
      <c r="AG138" s="162"/>
      <c r="AH138" s="163"/>
      <c r="AI138" s="163"/>
      <c r="AJ138" s="163"/>
      <c r="AK138" s="163"/>
      <c r="AL138" s="123"/>
      <c r="AM138" s="70"/>
      <c r="AN138" s="70"/>
      <c r="AO138" s="70"/>
      <c r="AP138" s="22"/>
      <c r="AQ138" s="124"/>
      <c r="AT138" s="125"/>
      <c r="AV138" s="4"/>
    </row>
    <row r="139" spans="1:48" s="2" customFormat="1" outlineLevel="1" x14ac:dyDescent="0.55000000000000004">
      <c r="A139" s="9"/>
      <c r="B139" s="1" t="s">
        <v>17</v>
      </c>
      <c r="C139" s="3">
        <v>7</v>
      </c>
      <c r="D139" s="13"/>
      <c r="E139" s="63">
        <f t="shared" ca="1" si="108"/>
        <v>2644244.4105185042</v>
      </c>
      <c r="F139" s="63">
        <f t="shared" si="109"/>
        <v>0</v>
      </c>
      <c r="G139" s="63">
        <f t="shared" si="110"/>
        <v>0</v>
      </c>
      <c r="H139" s="63">
        <f t="shared" ca="1" si="111"/>
        <v>13123.204072230012</v>
      </c>
      <c r="I139" s="63">
        <f t="shared" si="112"/>
        <v>-140244.78707159613</v>
      </c>
      <c r="J139" s="63">
        <f t="shared" ca="1" si="113"/>
        <v>-227121.24355813413</v>
      </c>
      <c r="K139" s="63">
        <f t="shared" ca="1" si="114"/>
        <v>8468.393858208321</v>
      </c>
      <c r="L139" s="63">
        <f t="shared" ca="1" si="115"/>
        <v>33991.225994246081</v>
      </c>
      <c r="M139" s="63">
        <f t="shared" ca="1" si="116"/>
        <v>2332461.2038134588</v>
      </c>
      <c r="N139" s="123"/>
      <c r="O139" s="63">
        <f t="shared" si="117"/>
        <v>69062.545780704357</v>
      </c>
      <c r="P139" s="63">
        <f t="shared" si="118"/>
        <v>0</v>
      </c>
      <c r="Q139" s="4">
        <f t="shared" si="119"/>
        <v>342.752688980892</v>
      </c>
      <c r="R139" s="4">
        <f t="shared" si="126"/>
        <v>-7012.239353579811</v>
      </c>
      <c r="S139" s="4">
        <f t="shared" si="120"/>
        <v>-13719.162115924533</v>
      </c>
      <c r="T139" s="63">
        <f t="shared" si="121"/>
        <v>797.93987878736516</v>
      </c>
      <c r="U139" s="4">
        <f t="shared" si="122"/>
        <v>49471.836878968272</v>
      </c>
      <c r="V139" s="123"/>
      <c r="W139" s="63">
        <f t="shared" ca="1" si="123"/>
        <v>2399693.6215816052</v>
      </c>
      <c r="X139" s="4">
        <f t="shared" si="127"/>
        <v>0</v>
      </c>
      <c r="Y139" s="4">
        <f t="shared" ca="1" si="128"/>
        <v>11909.515240563172</v>
      </c>
      <c r="Z139" s="4">
        <f t="shared" si="129"/>
        <v>0</v>
      </c>
      <c r="AA139" s="4">
        <f t="shared" ca="1" si="124"/>
        <v>5250.7682577162122</v>
      </c>
      <c r="AB139" s="4">
        <f ca="1">-SUM(W139:AA139)*IFERROR(IF(C139&lt;$F$8,IF($F$23="yes",M46/SUM(M46:$M$60),L46/SUM(L46:$L$60)),IF($F$23="yes",M77/SUM(M77:$M$91),L77/SUM(L77:$L$91))),0)</f>
        <v>-194058.75788735374</v>
      </c>
      <c r="AC139" s="4">
        <f t="shared" ca="1" si="125"/>
        <v>2222795.1471925308</v>
      </c>
      <c r="AD139" s="123"/>
      <c r="AE139" s="162"/>
      <c r="AF139" s="163"/>
      <c r="AG139" s="162"/>
      <c r="AH139" s="163"/>
      <c r="AI139" s="163"/>
      <c r="AJ139" s="163"/>
      <c r="AK139" s="163"/>
      <c r="AL139" s="123"/>
      <c r="AM139" s="70"/>
      <c r="AN139" s="70"/>
      <c r="AO139" s="70"/>
      <c r="AP139" s="22"/>
      <c r="AQ139" s="124"/>
      <c r="AT139" s="125"/>
      <c r="AV139" s="4"/>
    </row>
    <row r="140" spans="1:48" s="2" customFormat="1" outlineLevel="1" x14ac:dyDescent="0.55000000000000004">
      <c r="A140" s="9"/>
      <c r="B140" s="1" t="s">
        <v>18</v>
      </c>
      <c r="C140" s="3">
        <v>8</v>
      </c>
      <c r="D140" s="13"/>
      <c r="E140" s="63">
        <f t="shared" ca="1" si="108"/>
        <v>2332461.2038134588</v>
      </c>
      <c r="F140" s="63">
        <f t="shared" si="109"/>
        <v>0</v>
      </c>
      <c r="G140" s="63">
        <f t="shared" si="110"/>
        <v>0</v>
      </c>
      <c r="H140" s="63">
        <f t="shared" ca="1" si="111"/>
        <v>5809.4128717947206</v>
      </c>
      <c r="I140" s="63">
        <f t="shared" si="112"/>
        <v>-149002.47280464222</v>
      </c>
      <c r="J140" s="63">
        <f t="shared" ca="1" si="113"/>
        <v>-116742.48025541125</v>
      </c>
      <c r="K140" s="63">
        <f t="shared" si="114"/>
        <v>0</v>
      </c>
      <c r="L140" s="63">
        <f t="shared" si="115"/>
        <v>0</v>
      </c>
      <c r="M140" s="63">
        <f t="shared" ca="1" si="116"/>
        <v>2072525.6636252</v>
      </c>
      <c r="N140" s="123"/>
      <c r="O140" s="63">
        <f t="shared" si="117"/>
        <v>49471.836878968272</v>
      </c>
      <c r="P140" s="63">
        <f t="shared" si="118"/>
        <v>0</v>
      </c>
      <c r="Q140" s="4">
        <f t="shared" si="119"/>
        <v>123.21848075591501</v>
      </c>
      <c r="R140" s="4">
        <f t="shared" si="126"/>
        <v>-4470.0741841392592</v>
      </c>
      <c r="S140" s="4">
        <f t="shared" si="120"/>
        <v>0</v>
      </c>
      <c r="T140" s="63">
        <f t="shared" si="121"/>
        <v>0</v>
      </c>
      <c r="U140" s="4">
        <f t="shared" si="122"/>
        <v>45124.98117558493</v>
      </c>
      <c r="V140" s="123"/>
      <c r="W140" s="63">
        <f t="shared" ca="1" si="123"/>
        <v>2222795.1471925308</v>
      </c>
      <c r="X140" s="4">
        <f t="shared" si="127"/>
        <v>0</v>
      </c>
      <c r="Y140" s="4">
        <f t="shared" ca="1" si="128"/>
        <v>11031.580216766048</v>
      </c>
      <c r="Z140" s="4">
        <f t="shared" si="129"/>
        <v>0</v>
      </c>
      <c r="AA140" s="4">
        <f t="shared" si="124"/>
        <v>0</v>
      </c>
      <c r="AB140" s="4">
        <f ca="1">-SUM(W140:AA140)*IFERROR(IF(C140&lt;$F$8,IF($F$23="yes",M47/SUM(M47:$M$60),L47/SUM(L47:$L$60)),IF($F$23="yes",M78/SUM(M78:$M$91),L78/SUM(L78:$L$91))),0)</f>
        <v>-205906.55738292186</v>
      </c>
      <c r="AC140" s="4">
        <f t="shared" ca="1" si="125"/>
        <v>2027920.1700263747</v>
      </c>
      <c r="AD140" s="123"/>
      <c r="AE140" s="162"/>
      <c r="AF140" s="163"/>
      <c r="AG140" s="162"/>
      <c r="AH140" s="163"/>
      <c r="AI140" s="163"/>
      <c r="AJ140" s="163"/>
      <c r="AK140" s="163"/>
      <c r="AL140" s="123"/>
      <c r="AM140" s="70"/>
      <c r="AN140" s="70"/>
      <c r="AO140" s="70"/>
      <c r="AP140" s="22"/>
      <c r="AQ140" s="124"/>
      <c r="AT140" s="125"/>
      <c r="AV140" s="4"/>
    </row>
    <row r="141" spans="1:48" s="2" customFormat="1" outlineLevel="1" x14ac:dyDescent="0.55000000000000004">
      <c r="A141" s="9"/>
      <c r="B141" s="1" t="s">
        <v>19</v>
      </c>
      <c r="C141" s="3">
        <v>9</v>
      </c>
      <c r="D141" s="13"/>
      <c r="E141" s="63">
        <f t="shared" ca="1" si="108"/>
        <v>2072525.6636252</v>
      </c>
      <c r="F141" s="63">
        <f t="shared" si="109"/>
        <v>0</v>
      </c>
      <c r="G141" s="63">
        <f t="shared" si="110"/>
        <v>0</v>
      </c>
      <c r="H141" s="63">
        <f t="shared" ca="1" si="111"/>
        <v>5161.9967987909386</v>
      </c>
      <c r="I141" s="63">
        <f t="shared" si="112"/>
        <v>-145354.33386817915</v>
      </c>
      <c r="J141" s="63">
        <f t="shared" ca="1" si="113"/>
        <v>-104231.97870777256</v>
      </c>
      <c r="K141" s="63">
        <f t="shared" si="114"/>
        <v>0</v>
      </c>
      <c r="L141" s="63">
        <f t="shared" si="115"/>
        <v>0</v>
      </c>
      <c r="M141" s="63">
        <f t="shared" ca="1" si="116"/>
        <v>1828101.3478480391</v>
      </c>
      <c r="N141" s="123"/>
      <c r="O141" s="63">
        <f t="shared" si="117"/>
        <v>45124.98117558493</v>
      </c>
      <c r="P141" s="63">
        <f t="shared" si="118"/>
        <v>0</v>
      </c>
      <c r="Q141" s="4">
        <f t="shared" si="119"/>
        <v>112.39185717315934</v>
      </c>
      <c r="R141" s="4">
        <f t="shared" si="126"/>
        <v>-4360.6300160453757</v>
      </c>
      <c r="S141" s="4">
        <f t="shared" si="120"/>
        <v>0</v>
      </c>
      <c r="T141" s="63">
        <f t="shared" si="121"/>
        <v>0</v>
      </c>
      <c r="U141" s="4">
        <f t="shared" si="122"/>
        <v>40876.743016712717</v>
      </c>
      <c r="V141" s="123"/>
      <c r="W141" s="63">
        <f t="shared" ca="1" si="123"/>
        <v>2027920.1700263747</v>
      </c>
      <c r="X141" s="4">
        <f t="shared" si="127"/>
        <v>0</v>
      </c>
      <c r="Y141" s="4">
        <f t="shared" ca="1" si="128"/>
        <v>10064.429039760756</v>
      </c>
      <c r="Z141" s="4">
        <f t="shared" si="129"/>
        <v>0</v>
      </c>
      <c r="AA141" s="4">
        <f t="shared" si="124"/>
        <v>0</v>
      </c>
      <c r="AB141" s="4">
        <f ca="1">-SUM(W141:AA141)*IFERROR(IF(C141&lt;$F$8,IF($F$23="yes",M48/SUM(M48:$M$60),L48/SUM(L48:$L$60)),IF($F$23="yes",M79/SUM(M79:$M$91),L79/SUM(L79:$L$91))),0)</f>
        <v>-200553.75830450133</v>
      </c>
      <c r="AC141" s="4">
        <f t="shared" ca="1" si="125"/>
        <v>1837430.8407616341</v>
      </c>
      <c r="AD141" s="123"/>
      <c r="AE141" s="162"/>
      <c r="AF141" s="163"/>
      <c r="AG141" s="162"/>
      <c r="AH141" s="163"/>
      <c r="AI141" s="163"/>
      <c r="AJ141" s="163"/>
      <c r="AK141" s="163"/>
      <c r="AL141" s="123"/>
      <c r="AM141" s="70"/>
      <c r="AN141" s="70"/>
      <c r="AO141" s="70"/>
      <c r="AP141" s="22"/>
      <c r="AQ141" s="124"/>
      <c r="AT141" s="125"/>
      <c r="AV141" s="4"/>
    </row>
    <row r="142" spans="1:48" s="2" customFormat="1" outlineLevel="1" x14ac:dyDescent="0.55000000000000004">
      <c r="A142" s="9"/>
      <c r="B142" s="1" t="s">
        <v>20</v>
      </c>
      <c r="C142" s="3">
        <v>10</v>
      </c>
      <c r="D142" s="13"/>
      <c r="E142" s="63">
        <f t="shared" ca="1" si="108"/>
        <v>1828101.3478480391</v>
      </c>
      <c r="F142" s="63">
        <f t="shared" si="109"/>
        <v>0</v>
      </c>
      <c r="G142" s="63">
        <f t="shared" si="110"/>
        <v>0</v>
      </c>
      <c r="H142" s="63">
        <f t="shared" ca="1" si="111"/>
        <v>4553.2142115676697</v>
      </c>
      <c r="I142" s="63">
        <f t="shared" si="112"/>
        <v>-141795.44804808829</v>
      </c>
      <c r="J142" s="63">
        <f t="shared" ca="1" si="113"/>
        <v>-92293.034326083987</v>
      </c>
      <c r="K142" s="63">
        <f t="shared" si="114"/>
        <v>0</v>
      </c>
      <c r="L142" s="63">
        <f t="shared" si="115"/>
        <v>0</v>
      </c>
      <c r="M142" s="63">
        <f t="shared" ca="1" si="116"/>
        <v>1598566.0796854347</v>
      </c>
      <c r="N142" s="123"/>
      <c r="O142" s="63">
        <f t="shared" si="117"/>
        <v>40876.743016712717</v>
      </c>
      <c r="P142" s="63">
        <f t="shared" si="118"/>
        <v>0</v>
      </c>
      <c r="Q142" s="4">
        <f t="shared" si="119"/>
        <v>101.81085826854667</v>
      </c>
      <c r="R142" s="4">
        <f t="shared" si="126"/>
        <v>-4253.8634414426415</v>
      </c>
      <c r="S142" s="4">
        <f t="shared" si="120"/>
        <v>0</v>
      </c>
      <c r="T142" s="63">
        <f t="shared" si="121"/>
        <v>0</v>
      </c>
      <c r="U142" s="4">
        <f t="shared" si="122"/>
        <v>36724.690433538621</v>
      </c>
      <c r="V142" s="123"/>
      <c r="W142" s="63">
        <f t="shared" ca="1" si="123"/>
        <v>1837430.8407616341</v>
      </c>
      <c r="X142" s="4">
        <f t="shared" si="127"/>
        <v>0</v>
      </c>
      <c r="Y142" s="4">
        <f t="shared" ca="1" si="128"/>
        <v>9119.0435331943572</v>
      </c>
      <c r="Z142" s="4">
        <f t="shared" si="129"/>
        <v>0</v>
      </c>
      <c r="AA142" s="4">
        <f t="shared" si="124"/>
        <v>0</v>
      </c>
      <c r="AB142" s="4">
        <f ca="1">-SUM(W142:AA142)*IFERROR(IF(C142&lt;$F$8,IF($F$23="yes",M49/SUM(M49:$M$60),L49/SUM(L49:$L$60)),IF($F$23="yes",M80/SUM(M80:$M$91),L80/SUM(L80:$L$91))),0)</f>
        <v>-195340.11194825769</v>
      </c>
      <c r="AC142" s="4">
        <f t="shared" ca="1" si="125"/>
        <v>1651209.7723465706</v>
      </c>
      <c r="AD142" s="123"/>
      <c r="AE142" s="162"/>
      <c r="AF142" s="163"/>
      <c r="AG142" s="162"/>
      <c r="AH142" s="163"/>
      <c r="AI142" s="163"/>
      <c r="AJ142" s="163"/>
      <c r="AK142" s="163"/>
      <c r="AL142" s="123"/>
      <c r="AM142" s="70"/>
      <c r="AN142" s="70"/>
      <c r="AO142" s="70"/>
      <c r="AP142" s="22"/>
      <c r="AQ142" s="124"/>
      <c r="AT142" s="125"/>
      <c r="AV142" s="4"/>
    </row>
    <row r="143" spans="1:48" s="2" customFormat="1" outlineLevel="1" x14ac:dyDescent="0.55000000000000004">
      <c r="A143" s="9"/>
      <c r="B143" s="1" t="s">
        <v>21</v>
      </c>
      <c r="C143" s="3">
        <v>11</v>
      </c>
      <c r="D143" s="13"/>
      <c r="E143" s="63">
        <f t="shared" ca="1" si="108"/>
        <v>1598566.0796854347</v>
      </c>
      <c r="F143" s="63">
        <f t="shared" si="109"/>
        <v>0</v>
      </c>
      <c r="G143" s="63">
        <f t="shared" si="110"/>
        <v>0</v>
      </c>
      <c r="H143" s="63">
        <f t="shared" ca="1" si="111"/>
        <v>3981.5154672479198</v>
      </c>
      <c r="I143" s="63">
        <f t="shared" si="112"/>
        <v>-138323.63349549915</v>
      </c>
      <c r="J143" s="63">
        <f t="shared" ca="1" si="113"/>
        <v>-80904.385082307839</v>
      </c>
      <c r="K143" s="63">
        <f t="shared" si="114"/>
        <v>0</v>
      </c>
      <c r="L143" s="63">
        <f t="shared" si="115"/>
        <v>0</v>
      </c>
      <c r="M143" s="63">
        <f t="shared" ca="1" si="116"/>
        <v>1383319.5765748757</v>
      </c>
      <c r="N143" s="123"/>
      <c r="O143" s="63">
        <f t="shared" si="117"/>
        <v>36724.690433538621</v>
      </c>
      <c r="P143" s="63">
        <f t="shared" si="118"/>
        <v>0</v>
      </c>
      <c r="Q143" s="4">
        <f t="shared" si="119"/>
        <v>91.469426787661376</v>
      </c>
      <c r="R143" s="4">
        <f t="shared" si="126"/>
        <v>-4149.7090048649807</v>
      </c>
      <c r="S143" s="4">
        <f t="shared" si="120"/>
        <v>0</v>
      </c>
      <c r="T143" s="63">
        <f t="shared" si="121"/>
        <v>0</v>
      </c>
      <c r="U143" s="4">
        <f t="shared" si="122"/>
        <v>32666.450855461302</v>
      </c>
      <c r="V143" s="123"/>
      <c r="W143" s="63">
        <f t="shared" ca="1" si="123"/>
        <v>1651209.7723465706</v>
      </c>
      <c r="X143" s="4">
        <f t="shared" si="127"/>
        <v>0</v>
      </c>
      <c r="Y143" s="4">
        <f t="shared" ca="1" si="128"/>
        <v>8194.8411131614903</v>
      </c>
      <c r="Z143" s="4">
        <f t="shared" si="129"/>
        <v>0</v>
      </c>
      <c r="AA143" s="4">
        <f t="shared" si="124"/>
        <v>0</v>
      </c>
      <c r="AB143" s="4">
        <f ca="1">-SUM(W143:AA143)*IFERROR(IF(C143&lt;$F$8,IF($F$23="yes",M50/SUM(M50:$M$60),L50/SUM(L50:$L$60)),IF($F$23="yes",M81/SUM(M81:$M$91),L81/SUM(L81:$L$91))),0)</f>
        <v>-190262.00086473988</v>
      </c>
      <c r="AC143" s="4">
        <f t="shared" ca="1" si="125"/>
        <v>1469142.6125949924</v>
      </c>
      <c r="AD143" s="123"/>
      <c r="AE143" s="162"/>
      <c r="AF143" s="163"/>
      <c r="AG143" s="162"/>
      <c r="AH143" s="163"/>
      <c r="AI143" s="163"/>
      <c r="AJ143" s="163"/>
      <c r="AK143" s="163"/>
      <c r="AL143" s="123"/>
      <c r="AM143" s="70"/>
      <c r="AN143" s="70"/>
      <c r="AO143" s="70"/>
      <c r="AP143" s="22"/>
      <c r="AQ143" s="124"/>
      <c r="AT143" s="125"/>
      <c r="AV143" s="4"/>
    </row>
    <row r="144" spans="1:48" s="2" customFormat="1" outlineLevel="1" x14ac:dyDescent="0.55000000000000004">
      <c r="A144" s="9"/>
      <c r="B144" s="1" t="s">
        <v>22</v>
      </c>
      <c r="C144" s="3">
        <v>12</v>
      </c>
      <c r="D144" s="13"/>
      <c r="E144" s="63">
        <f t="shared" ca="1" si="108"/>
        <v>1383319.5765748757</v>
      </c>
      <c r="F144" s="63">
        <f t="shared" si="109"/>
        <v>0</v>
      </c>
      <c r="G144" s="63">
        <f t="shared" si="110"/>
        <v>0</v>
      </c>
      <c r="H144" s="63">
        <f t="shared" ca="1" si="111"/>
        <v>3445.4054544704941</v>
      </c>
      <c r="I144" s="63">
        <f t="shared" si="112"/>
        <v>-134936.76165179888</v>
      </c>
      <c r="J144" s="63">
        <f t="shared" ca="1" si="113"/>
        <v>-70045.488153246682</v>
      </c>
      <c r="K144" s="63">
        <f t="shared" si="114"/>
        <v>0</v>
      </c>
      <c r="L144" s="63">
        <f t="shared" si="115"/>
        <v>0</v>
      </c>
      <c r="M144" s="63">
        <f t="shared" ca="1" si="116"/>
        <v>1181782.7322243007</v>
      </c>
      <c r="N144" s="123"/>
      <c r="O144" s="63">
        <f t="shared" si="117"/>
        <v>32666.450855461302</v>
      </c>
      <c r="P144" s="63">
        <f t="shared" si="118"/>
        <v>0</v>
      </c>
      <c r="Q144" s="4">
        <f t="shared" si="119"/>
        <v>81.361653417984925</v>
      </c>
      <c r="R144" s="4">
        <f t="shared" si="126"/>
        <v>-4048.1028495539649</v>
      </c>
      <c r="S144" s="4">
        <f t="shared" si="120"/>
        <v>0</v>
      </c>
      <c r="T144" s="63">
        <f t="shared" si="121"/>
        <v>0</v>
      </c>
      <c r="U144" s="4">
        <f t="shared" si="122"/>
        <v>28699.709659325323</v>
      </c>
      <c r="V144" s="123"/>
      <c r="W144" s="63">
        <f t="shared" ca="1" si="123"/>
        <v>1469142.6125949924</v>
      </c>
      <c r="X144" s="4">
        <f t="shared" si="127"/>
        <v>0</v>
      </c>
      <c r="Y144" s="4">
        <f t="shared" ca="1" si="128"/>
        <v>7291.2542575868383</v>
      </c>
      <c r="Z144" s="4">
        <f t="shared" si="129"/>
        <v>0</v>
      </c>
      <c r="AA144" s="4">
        <f t="shared" si="124"/>
        <v>0</v>
      </c>
      <c r="AB144" s="4">
        <f ca="1">-SUM(W144:AA144)*IFERROR(IF(C144&lt;$F$8,IF($F$23="yes",M51/SUM(M51:$M$60),L51/SUM(L51:$L$60)),IF($F$23="yes",M82/SUM(M82:$M$91),L82/SUM(L82:$L$91))),0)</f>
        <v>-185315.90164462975</v>
      </c>
      <c r="AC144" s="4">
        <f t="shared" ca="1" si="125"/>
        <v>1291117.9652079495</v>
      </c>
      <c r="AD144" s="123"/>
      <c r="AE144" s="162"/>
      <c r="AF144" s="163"/>
      <c r="AG144" s="162"/>
      <c r="AH144" s="163"/>
      <c r="AI144" s="163"/>
      <c r="AJ144" s="163"/>
      <c r="AK144" s="163"/>
      <c r="AL144" s="123"/>
      <c r="AM144" s="70"/>
      <c r="AN144" s="70"/>
      <c r="AO144" s="70"/>
      <c r="AP144" s="22"/>
      <c r="AQ144" s="124"/>
      <c r="AT144" s="125"/>
      <c r="AV144" s="4"/>
    </row>
    <row r="145" spans="1:48" s="2" customFormat="1" outlineLevel="1" x14ac:dyDescent="0.55000000000000004">
      <c r="A145" s="9"/>
      <c r="B145" s="1" t="s">
        <v>23</v>
      </c>
      <c r="C145" s="3">
        <v>13</v>
      </c>
      <c r="D145" s="13"/>
      <c r="E145" s="63">
        <f t="shared" ref="E145:E152" ca="1" si="130">IF(C145=1,0,M144)</f>
        <v>1181782.7322243007</v>
      </c>
      <c r="F145" s="63">
        <f t="shared" si="109"/>
        <v>0</v>
      </c>
      <c r="G145" s="63">
        <f t="shared" si="110"/>
        <v>0</v>
      </c>
      <c r="H145" s="63">
        <f t="shared" ref="H145:H152" ca="1" si="131">SUM(E145:G145)*((1+IF($C145&lt;=$F$8,$F$17,$G$17))^(1/4)-1)</f>
        <v>2943.4418051729617</v>
      </c>
      <c r="I145" s="63">
        <f t="shared" si="112"/>
        <v>-131632.75594827544</v>
      </c>
      <c r="J145" s="63">
        <f t="shared" ca="1" si="113"/>
        <v>-59696.496896270117</v>
      </c>
      <c r="K145" s="63">
        <f t="shared" si="114"/>
        <v>0</v>
      </c>
      <c r="L145" s="63">
        <f t="shared" si="115"/>
        <v>0</v>
      </c>
      <c r="M145" s="63">
        <f t="shared" ref="M145:M152" ca="1" si="132">SUM(E145:L145)</f>
        <v>993396.92118492827</v>
      </c>
      <c r="N145" s="123"/>
      <c r="O145" s="63">
        <f t="shared" ref="O145:O152" si="133">IF(C145=1,0,U144)</f>
        <v>28699.709659325323</v>
      </c>
      <c r="P145" s="63">
        <f t="shared" si="118"/>
        <v>0</v>
      </c>
      <c r="Q145" s="4">
        <f t="shared" ref="Q145:Q152" si="134">SUM(O145:P145)*((1+IF($C145&lt;=$F$8,$F$17,$G$17))^(1/4)-1)</f>
        <v>71.481773175503633</v>
      </c>
      <c r="R145" s="4">
        <f t="shared" ref="R145:R152" si="135">U145-SUM(S145:T145,O145:Q145)</f>
        <v>-3948.9826784482575</v>
      </c>
      <c r="S145" s="4">
        <f t="shared" si="120"/>
        <v>0</v>
      </c>
      <c r="T145" s="63">
        <f t="shared" si="121"/>
        <v>0</v>
      </c>
      <c r="U145" s="4">
        <f t="shared" si="122"/>
        <v>24822.208754052568</v>
      </c>
      <c r="V145" s="123"/>
      <c r="W145" s="63">
        <f t="shared" ca="1" si="123"/>
        <v>1291117.9652079495</v>
      </c>
      <c r="X145" s="4">
        <f t="shared" si="127"/>
        <v>0</v>
      </c>
      <c r="Y145" s="4">
        <f t="shared" ref="Y145:Y152" ca="1" si="136">SUM(W145:X145)*((1+$F$17)^(1/4)-1)</f>
        <v>6407.7301142612059</v>
      </c>
      <c r="Z145" s="4">
        <f t="shared" si="129"/>
        <v>0</v>
      </c>
      <c r="AA145" s="4">
        <f t="shared" si="124"/>
        <v>0</v>
      </c>
      <c r="AB145" s="4">
        <f ca="1">-SUM(W145:AA145)*IFERROR(IF(C145&lt;$F$8,IF($F$23="yes",M52/SUM(M52:$M$60),L52/SUM(L52:$L$60)),IF($F$23="yes",M83/SUM(M83:$M$91),L83/SUM(L83:$L$91))),0)</f>
        <v>-180498.38247405115</v>
      </c>
      <c r="AC145" s="4">
        <f t="shared" ca="1" si="125"/>
        <v>1117027.3128481596</v>
      </c>
      <c r="AD145" s="123"/>
      <c r="AE145" s="162"/>
      <c r="AF145" s="163"/>
      <c r="AG145" s="162"/>
      <c r="AH145" s="163"/>
      <c r="AI145" s="163"/>
      <c r="AJ145" s="163"/>
      <c r="AK145" s="163"/>
      <c r="AL145" s="123"/>
      <c r="AM145" s="70"/>
      <c r="AN145" s="70"/>
      <c r="AO145" s="70"/>
      <c r="AP145" s="22"/>
      <c r="AQ145" s="124"/>
      <c r="AT145" s="125"/>
      <c r="AV145" s="4"/>
    </row>
    <row r="146" spans="1:48" s="2" customFormat="1" outlineLevel="1" x14ac:dyDescent="0.55000000000000004">
      <c r="A146" s="9"/>
      <c r="B146" s="1" t="s">
        <v>24</v>
      </c>
      <c r="C146" s="3">
        <v>14</v>
      </c>
      <c r="D146" s="13"/>
      <c r="E146" s="63">
        <f t="shared" ca="1" si="130"/>
        <v>993396.92118492827</v>
      </c>
      <c r="F146" s="63">
        <f t="shared" si="109"/>
        <v>0</v>
      </c>
      <c r="G146" s="63">
        <f t="shared" si="110"/>
        <v>0</v>
      </c>
      <c r="H146" s="63">
        <f t="shared" ca="1" si="131"/>
        <v>2474.233162505589</v>
      </c>
      <c r="I146" s="63">
        <f t="shared" si="112"/>
        <v>-128409.59053745854</v>
      </c>
      <c r="J146" s="63">
        <f t="shared" ca="1" si="113"/>
        <v>-49838.23853608514</v>
      </c>
      <c r="K146" s="63">
        <f t="shared" si="114"/>
        <v>0</v>
      </c>
      <c r="L146" s="63">
        <f t="shared" si="115"/>
        <v>0</v>
      </c>
      <c r="M146" s="63">
        <f t="shared" ca="1" si="132"/>
        <v>817623.32527389016</v>
      </c>
      <c r="N146" s="123"/>
      <c r="O146" s="63">
        <f t="shared" si="133"/>
        <v>24822.208754052568</v>
      </c>
      <c r="P146" s="63">
        <f t="shared" si="118"/>
        <v>0</v>
      </c>
      <c r="Q146" s="4">
        <f t="shared" si="134"/>
        <v>61.824161879479362</v>
      </c>
      <c r="R146" s="4">
        <f t="shared" si="135"/>
        <v>-3852.2877161237593</v>
      </c>
      <c r="S146" s="4">
        <f t="shared" si="120"/>
        <v>0</v>
      </c>
      <c r="T146" s="63">
        <f t="shared" si="121"/>
        <v>0</v>
      </c>
      <c r="U146" s="4">
        <f t="shared" si="122"/>
        <v>21031.745199808287</v>
      </c>
      <c r="V146" s="123"/>
      <c r="W146" s="63">
        <f t="shared" ca="1" si="123"/>
        <v>1117027.3128481596</v>
      </c>
      <c r="X146" s="4">
        <f t="shared" si="127"/>
        <v>0</v>
      </c>
      <c r="Y146" s="4">
        <f t="shared" ca="1" si="136"/>
        <v>5543.7301190651542</v>
      </c>
      <c r="Z146" s="4">
        <f t="shared" si="129"/>
        <v>0</v>
      </c>
      <c r="AA146" s="4">
        <f t="shared" si="124"/>
        <v>0</v>
      </c>
      <c r="AB146" s="4">
        <f ca="1">-SUM(W146:AA146)*IFERROR(IF(C146&lt;$F$8,IF($F$23="yes",M53/SUM(M53:$M$60),L53/SUM(L53:$L$60)),IF($F$23="yes",M84/SUM(M84:$M$91),L84/SUM(L84:$L$91))),0)</f>
        <v>-175806.10075343197</v>
      </c>
      <c r="AC146" s="4">
        <f t="shared" ca="1" si="125"/>
        <v>946764.94221379282</v>
      </c>
      <c r="AD146" s="123"/>
      <c r="AE146" s="162"/>
      <c r="AF146" s="163"/>
      <c r="AG146" s="162"/>
      <c r="AH146" s="163"/>
      <c r="AI146" s="163"/>
      <c r="AJ146" s="163"/>
      <c r="AK146" s="163"/>
      <c r="AL146" s="123"/>
      <c r="AM146" s="70"/>
      <c r="AN146" s="70"/>
      <c r="AO146" s="70"/>
      <c r="AP146" s="22"/>
      <c r="AQ146" s="124"/>
      <c r="AT146" s="125"/>
      <c r="AV146" s="4"/>
    </row>
    <row r="147" spans="1:48" s="2" customFormat="1" outlineLevel="1" x14ac:dyDescent="0.55000000000000004">
      <c r="A147" s="9"/>
      <c r="B147" s="1" t="s">
        <v>25</v>
      </c>
      <c r="C147" s="3">
        <v>15</v>
      </c>
      <c r="D147" s="13"/>
      <c r="E147" s="63">
        <f t="shared" ca="1" si="130"/>
        <v>817623.32527389016</v>
      </c>
      <c r="F147" s="63">
        <f t="shared" si="109"/>
        <v>0</v>
      </c>
      <c r="G147" s="63">
        <f t="shared" si="110"/>
        <v>0</v>
      </c>
      <c r="H147" s="63">
        <f t="shared" ca="1" si="131"/>
        <v>2036.437503166127</v>
      </c>
      <c r="I147" s="63">
        <f t="shared" si="112"/>
        <v>-125265.28905538756</v>
      </c>
      <c r="J147" s="63">
        <f t="shared" ca="1" si="113"/>
        <v>-40452.19254115384</v>
      </c>
      <c r="K147" s="63">
        <f t="shared" si="114"/>
        <v>0</v>
      </c>
      <c r="L147" s="63">
        <f t="shared" si="115"/>
        <v>0</v>
      </c>
      <c r="M147" s="63">
        <f t="shared" ca="1" si="132"/>
        <v>653942.28118051484</v>
      </c>
      <c r="N147" s="123"/>
      <c r="O147" s="63">
        <f t="shared" si="133"/>
        <v>21031.745199808287</v>
      </c>
      <c r="P147" s="63">
        <f t="shared" si="118"/>
        <v>0</v>
      </c>
      <c r="Q147" s="4">
        <f t="shared" si="134"/>
        <v>52.383332713235021</v>
      </c>
      <c r="R147" s="4">
        <f t="shared" si="135"/>
        <v>-3757.958671661625</v>
      </c>
      <c r="S147" s="4">
        <f t="shared" si="120"/>
        <v>0</v>
      </c>
      <c r="T147" s="63">
        <f t="shared" si="121"/>
        <v>0</v>
      </c>
      <c r="U147" s="4">
        <f t="shared" si="122"/>
        <v>17326.169860859896</v>
      </c>
      <c r="V147" s="123"/>
      <c r="W147" s="63">
        <f t="shared" ca="1" si="123"/>
        <v>946764.94221379282</v>
      </c>
      <c r="X147" s="4">
        <f t="shared" si="127"/>
        <v>0</v>
      </c>
      <c r="Y147" s="4">
        <f t="shared" ca="1" si="136"/>
        <v>4698.7296241153235</v>
      </c>
      <c r="Z147" s="4">
        <f t="shared" si="129"/>
        <v>0</v>
      </c>
      <c r="AA147" s="4">
        <f t="shared" si="124"/>
        <v>0</v>
      </c>
      <c r="AB147" s="4">
        <f ca="1">-SUM(W147:AA147)*IFERROR(IF(C147&lt;$F$8,IF($F$23="yes",M54/SUM(M54:$M$60),L54/SUM(L54:$L$60)),IF($F$23="yes",M85/SUM(M85:$M$91),L85/SUM(L85:$L$91))),0)</f>
        <v>-171235.8007782659</v>
      </c>
      <c r="AC147" s="4">
        <f t="shared" ca="1" si="125"/>
        <v>780227.87105964217</v>
      </c>
      <c r="AD147" s="123"/>
      <c r="AE147" s="162"/>
      <c r="AF147" s="163"/>
      <c r="AG147" s="162"/>
      <c r="AH147" s="163"/>
      <c r="AI147" s="163"/>
      <c r="AJ147" s="163"/>
      <c r="AK147" s="163"/>
      <c r="AL147" s="123"/>
      <c r="AM147" s="70"/>
      <c r="AN147" s="70"/>
      <c r="AO147" s="70"/>
      <c r="AP147" s="22"/>
      <c r="AQ147" s="124"/>
      <c r="AT147" s="125"/>
      <c r="AV147" s="4"/>
    </row>
    <row r="148" spans="1:48" s="2" customFormat="1" outlineLevel="1" x14ac:dyDescent="0.55000000000000004">
      <c r="A148" s="9"/>
      <c r="B148" s="1" t="s">
        <v>26</v>
      </c>
      <c r="C148" s="3">
        <v>16</v>
      </c>
      <c r="D148" s="13"/>
      <c r="E148" s="63">
        <f t="shared" ca="1" si="130"/>
        <v>653942.28118051484</v>
      </c>
      <c r="F148" s="63">
        <f t="shared" si="109"/>
        <v>0</v>
      </c>
      <c r="G148" s="63">
        <f t="shared" si="110"/>
        <v>0</v>
      </c>
      <c r="H148" s="63">
        <f t="shared" ca="1" si="131"/>
        <v>1628.760512496274</v>
      </c>
      <c r="I148" s="63">
        <f t="shared" si="112"/>
        <v>-122197.92341405209</v>
      </c>
      <c r="J148" s="63">
        <f t="shared" ca="1" si="113"/>
        <v>-31520.469668960985</v>
      </c>
      <c r="K148" s="63">
        <f t="shared" si="114"/>
        <v>0</v>
      </c>
      <c r="L148" s="63">
        <f t="shared" si="115"/>
        <v>0</v>
      </c>
      <c r="M148" s="63">
        <f t="shared" ca="1" si="132"/>
        <v>501852.64860999794</v>
      </c>
      <c r="N148" s="123"/>
      <c r="O148" s="63">
        <f t="shared" si="133"/>
        <v>17326.169860859896</v>
      </c>
      <c r="P148" s="63">
        <f t="shared" si="118"/>
        <v>0</v>
      </c>
      <c r="Q148" s="4">
        <f t="shared" si="134"/>
        <v>43.153932868857787</v>
      </c>
      <c r="R148" s="4">
        <f t="shared" si="135"/>
        <v>-3665.9377024215646</v>
      </c>
      <c r="S148" s="4">
        <f t="shared" si="120"/>
        <v>0</v>
      </c>
      <c r="T148" s="63">
        <f t="shared" si="121"/>
        <v>0</v>
      </c>
      <c r="U148" s="4">
        <f t="shared" si="122"/>
        <v>13703.386091307191</v>
      </c>
      <c r="V148" s="123"/>
      <c r="W148" s="63">
        <f t="shared" ca="1" si="123"/>
        <v>780227.87105964217</v>
      </c>
      <c r="X148" s="4">
        <f t="shared" si="127"/>
        <v>0</v>
      </c>
      <c r="Y148" s="4">
        <f t="shared" ca="1" si="136"/>
        <v>3872.2175355754985</v>
      </c>
      <c r="Z148" s="4">
        <f t="shared" si="129"/>
        <v>0</v>
      </c>
      <c r="AA148" s="4">
        <f t="shared" si="124"/>
        <v>0</v>
      </c>
      <c r="AB148" s="4">
        <f ca="1">-SUM(W148:AA148)*IFERROR(IF(C148&lt;$F$8,IF($F$23="yes",M55/SUM(M55:$M$60),L55/SUM(L55:$L$60)),IF($F$23="yes",M86/SUM(M86:$M$91),L86/SUM(L86:$L$91))),0)</f>
        <v>-166784.31148016674</v>
      </c>
      <c r="AC148" s="4">
        <f t="shared" ca="1" si="125"/>
        <v>617315.77711505094</v>
      </c>
      <c r="AD148" s="123"/>
      <c r="AE148" s="162"/>
      <c r="AF148" s="163"/>
      <c r="AG148" s="162"/>
      <c r="AH148" s="163"/>
      <c r="AI148" s="163"/>
      <c r="AJ148" s="163"/>
      <c r="AK148" s="163"/>
      <c r="AL148" s="123"/>
      <c r="AM148" s="70"/>
      <c r="AN148" s="70"/>
      <c r="AO148" s="70"/>
      <c r="AP148" s="22"/>
      <c r="AQ148" s="124"/>
      <c r="AT148" s="125"/>
      <c r="AV148" s="4"/>
    </row>
    <row r="149" spans="1:48" s="2" customFormat="1" outlineLevel="1" x14ac:dyDescent="0.55000000000000004">
      <c r="A149" s="9"/>
      <c r="B149" s="1" t="s">
        <v>27</v>
      </c>
      <c r="C149" s="3">
        <v>17</v>
      </c>
      <c r="D149" s="13"/>
      <c r="E149" s="63">
        <f t="shared" ca="1" si="130"/>
        <v>501852.64860999794</v>
      </c>
      <c r="F149" s="63">
        <f t="shared" si="109"/>
        <v>0</v>
      </c>
      <c r="G149" s="63">
        <f t="shared" si="110"/>
        <v>0</v>
      </c>
      <c r="H149" s="63">
        <f t="shared" ca="1" si="131"/>
        <v>1249.9540107301877</v>
      </c>
      <c r="I149" s="63">
        <f t="shared" si="112"/>
        <v>-119205.61262327175</v>
      </c>
      <c r="J149" s="63">
        <f t="shared" ca="1" si="113"/>
        <v>-23025.791659989874</v>
      </c>
      <c r="K149" s="63">
        <f t="shared" si="114"/>
        <v>0</v>
      </c>
      <c r="L149" s="63">
        <f t="shared" si="115"/>
        <v>0</v>
      </c>
      <c r="M149" s="63">
        <f t="shared" ca="1" si="132"/>
        <v>360871.19833746651</v>
      </c>
      <c r="N149" s="123"/>
      <c r="O149" s="63">
        <f t="shared" si="133"/>
        <v>13703.386091307191</v>
      </c>
      <c r="P149" s="63">
        <f t="shared" si="118"/>
        <v>0</v>
      </c>
      <c r="Q149" s="4">
        <f t="shared" si="134"/>
        <v>34.13074027377457</v>
      </c>
      <c r="R149" s="4">
        <f t="shared" si="135"/>
        <v>-3576.1683786981539</v>
      </c>
      <c r="S149" s="4">
        <f t="shared" si="120"/>
        <v>0</v>
      </c>
      <c r="T149" s="63">
        <f t="shared" si="121"/>
        <v>0</v>
      </c>
      <c r="U149" s="4">
        <f t="shared" si="122"/>
        <v>10161.348452882812</v>
      </c>
      <c r="V149" s="123"/>
      <c r="W149" s="63">
        <f t="shared" ca="1" si="123"/>
        <v>617315.77711505094</v>
      </c>
      <c r="X149" s="4">
        <f t="shared" si="127"/>
        <v>0</v>
      </c>
      <c r="Y149" s="4">
        <f t="shared" ca="1" si="136"/>
        <v>3063.6959608811394</v>
      </c>
      <c r="Z149" s="4">
        <f t="shared" si="129"/>
        <v>0</v>
      </c>
      <c r="AA149" s="4">
        <f t="shared" si="124"/>
        <v>0</v>
      </c>
      <c r="AB149" s="4">
        <f ca="1">-SUM(W149:AA149)*IFERROR(IF(C149&lt;$F$8,IF($F$23="yes",M56/SUM(M56:$M$60),L56/SUM(L56:$L$60)),IF($F$23="yes",M87/SUM(M87:$M$91),L87/SUM(L87:$L$91))),0)</f>
        <v>-162448.54422664607</v>
      </c>
      <c r="AC149" s="4">
        <f t="shared" ca="1" si="125"/>
        <v>457930.92884928605</v>
      </c>
      <c r="AD149" s="123"/>
      <c r="AE149" s="162"/>
      <c r="AF149" s="163"/>
      <c r="AG149" s="162"/>
      <c r="AH149" s="163"/>
      <c r="AI149" s="163"/>
      <c r="AJ149" s="163"/>
      <c r="AK149" s="163"/>
      <c r="AL149" s="123"/>
      <c r="AM149" s="70"/>
      <c r="AN149" s="70"/>
      <c r="AO149" s="70"/>
      <c r="AT149" s="125"/>
      <c r="AV149" s="4"/>
    </row>
    <row r="150" spans="1:48" s="2" customFormat="1" outlineLevel="1" x14ac:dyDescent="0.55000000000000004">
      <c r="A150" s="9"/>
      <c r="B150" s="1" t="s">
        <v>28</v>
      </c>
      <c r="C150" s="3">
        <v>18</v>
      </c>
      <c r="D150" s="13"/>
      <c r="E150" s="63">
        <f t="shared" ca="1" si="130"/>
        <v>360871.19833746651</v>
      </c>
      <c r="F150" s="63">
        <f t="shared" si="109"/>
        <v>0</v>
      </c>
      <c r="G150" s="63">
        <f t="shared" si="110"/>
        <v>0</v>
      </c>
      <c r="H150" s="63">
        <f t="shared" ca="1" si="131"/>
        <v>898.81442883340208</v>
      </c>
      <c r="I150" s="63">
        <f t="shared" si="112"/>
        <v>-116286.52164129773</v>
      </c>
      <c r="J150" s="63">
        <f t="shared" ca="1" si="113"/>
        <v>-14951.471560825616</v>
      </c>
      <c r="K150" s="63">
        <f t="shared" si="114"/>
        <v>0</v>
      </c>
      <c r="L150" s="63">
        <f t="shared" si="115"/>
        <v>0</v>
      </c>
      <c r="M150" s="63">
        <f t="shared" ca="1" si="132"/>
        <v>230532.01956417659</v>
      </c>
      <c r="N150" s="123"/>
      <c r="O150" s="63">
        <f t="shared" si="133"/>
        <v>10161.348452882812</v>
      </c>
      <c r="P150" s="63">
        <f t="shared" si="118"/>
        <v>0</v>
      </c>
      <c r="Q150" s="4">
        <f t="shared" si="134"/>
        <v>25.30866039720414</v>
      </c>
      <c r="R150" s="4">
        <f t="shared" si="135"/>
        <v>-3488.5956492389332</v>
      </c>
      <c r="S150" s="4">
        <f t="shared" si="120"/>
        <v>0</v>
      </c>
      <c r="T150" s="63">
        <f t="shared" si="121"/>
        <v>0</v>
      </c>
      <c r="U150" s="4">
        <f t="shared" si="122"/>
        <v>6698.0614640410831</v>
      </c>
      <c r="V150" s="123"/>
      <c r="W150" s="63">
        <f t="shared" ca="1" si="123"/>
        <v>457930.92884928605</v>
      </c>
      <c r="X150" s="4">
        <f t="shared" si="127"/>
        <v>0</v>
      </c>
      <c r="Y150" s="4">
        <f t="shared" ca="1" si="136"/>
        <v>2272.6798651326744</v>
      </c>
      <c r="Z150" s="4">
        <f t="shared" si="129"/>
        <v>0</v>
      </c>
      <c r="AA150" s="4">
        <f t="shared" si="124"/>
        <v>0</v>
      </c>
      <c r="AB150" s="4">
        <f ca="1">-SUM(W150:AA150)*IFERROR(IF(C150&lt;$F$8,IF($F$23="yes",M57/SUM(M57:$M$60),L57/SUM(L57:$L$60)),IF($F$23="yes",M88/SUM(M88:$M$91),L88/SUM(L88:$L$91))),0)</f>
        <v>-158225.49067808874</v>
      </c>
      <c r="AC150" s="4">
        <f t="shared" ca="1" si="125"/>
        <v>301978.11803632998</v>
      </c>
      <c r="AD150" s="123"/>
      <c r="AE150" s="162"/>
      <c r="AF150" s="163"/>
      <c r="AG150" s="162"/>
      <c r="AH150" s="163"/>
      <c r="AI150" s="163"/>
      <c r="AJ150" s="163"/>
      <c r="AK150" s="163"/>
      <c r="AL150" s="123"/>
      <c r="AM150" s="70"/>
      <c r="AN150" s="70"/>
      <c r="AO150" s="70"/>
      <c r="AT150" s="125"/>
      <c r="AV150" s="4"/>
    </row>
    <row r="151" spans="1:48" s="2" customFormat="1" outlineLevel="1" x14ac:dyDescent="0.55000000000000004">
      <c r="A151" s="9"/>
      <c r="B151" s="1" t="s">
        <v>29</v>
      </c>
      <c r="C151" s="3">
        <v>19</v>
      </c>
      <c r="D151" s="13"/>
      <c r="E151" s="63">
        <f t="shared" ca="1" si="130"/>
        <v>230532.01956417659</v>
      </c>
      <c r="F151" s="63">
        <f t="shared" si="109"/>
        <v>0</v>
      </c>
      <c r="G151" s="63">
        <f t="shared" si="110"/>
        <v>0</v>
      </c>
      <c r="H151" s="63">
        <f t="shared" ca="1" si="131"/>
        <v>574.18133241716646</v>
      </c>
      <c r="I151" s="63">
        <f t="shared" si="112"/>
        <v>-113438.86025343579</v>
      </c>
      <c r="J151" s="63">
        <f t="shared" ca="1" si="113"/>
        <v>-7281.3946574076908</v>
      </c>
      <c r="K151" s="63">
        <f t="shared" si="114"/>
        <v>0</v>
      </c>
      <c r="L151" s="63">
        <f t="shared" si="115"/>
        <v>0</v>
      </c>
      <c r="M151" s="63">
        <f t="shared" ca="1" si="132"/>
        <v>110385.94598575027</v>
      </c>
      <c r="N151" s="123"/>
      <c r="O151" s="63">
        <f t="shared" si="133"/>
        <v>6698.0614640410831</v>
      </c>
      <c r="P151" s="63">
        <f t="shared" si="118"/>
        <v>0</v>
      </c>
      <c r="Q151" s="4">
        <f t="shared" si="134"/>
        <v>16.682723134538563</v>
      </c>
      <c r="R151" s="4">
        <f t="shared" si="135"/>
        <v>-3403.1658076030731</v>
      </c>
      <c r="S151" s="4">
        <f t="shared" si="120"/>
        <v>0</v>
      </c>
      <c r="T151" s="63">
        <f t="shared" si="121"/>
        <v>0</v>
      </c>
      <c r="U151" s="4">
        <f t="shared" si="122"/>
        <v>3311.5783795725488</v>
      </c>
      <c r="V151" s="123"/>
      <c r="W151" s="63">
        <f t="shared" ca="1" si="123"/>
        <v>301978.11803632998</v>
      </c>
      <c r="X151" s="4">
        <f t="shared" si="127"/>
        <v>0</v>
      </c>
      <c r="Y151" s="4">
        <f t="shared" ca="1" si="136"/>
        <v>1498.6967364191723</v>
      </c>
      <c r="Z151" s="4">
        <f t="shared" si="129"/>
        <v>0</v>
      </c>
      <c r="AA151" s="4">
        <f t="shared" si="124"/>
        <v>0</v>
      </c>
      <c r="AB151" s="4">
        <f ca="1">-SUM(W151:AA151)*IFERROR(IF(C151&lt;$F$8,IF($F$23="yes",M58/SUM(M58:$M$60),L58/SUM(L58:$L$60)),IF($F$23="yes",M89/SUM(M89:$M$91),L89/SUM(L89:$L$91))),0)</f>
        <v>-154112.2207004393</v>
      </c>
      <c r="AC151" s="4">
        <f t="shared" ca="1" si="125"/>
        <v>149364.59407230985</v>
      </c>
      <c r="AD151" s="123"/>
      <c r="AE151" s="162"/>
      <c r="AF151" s="163"/>
      <c r="AG151" s="162"/>
      <c r="AH151" s="163"/>
      <c r="AI151" s="163"/>
      <c r="AJ151" s="163"/>
      <c r="AK151" s="163"/>
      <c r="AL151" s="123"/>
      <c r="AM151" s="70"/>
      <c r="AN151" s="70"/>
      <c r="AO151" s="70"/>
      <c r="AT151" s="125"/>
      <c r="AV151" s="4"/>
    </row>
    <row r="152" spans="1:48" s="2" customFormat="1" outlineLevel="1" x14ac:dyDescent="0.55000000000000004">
      <c r="A152" s="9"/>
      <c r="B152" s="1" t="s">
        <v>30</v>
      </c>
      <c r="C152" s="3">
        <v>20</v>
      </c>
      <c r="D152" s="13"/>
      <c r="E152" s="63">
        <f t="shared" ca="1" si="130"/>
        <v>110385.94598575027</v>
      </c>
      <c r="F152" s="63">
        <f t="shared" si="109"/>
        <v>0</v>
      </c>
      <c r="G152" s="63">
        <f t="shared" si="110"/>
        <v>0</v>
      </c>
      <c r="H152" s="63">
        <f t="shared" ca="1" si="131"/>
        <v>274.93599225847669</v>
      </c>
      <c r="I152" s="63">
        <f t="shared" si="112"/>
        <v>-110660.8819780101</v>
      </c>
      <c r="J152" s="63">
        <f t="shared" ca="1" si="113"/>
        <v>0</v>
      </c>
      <c r="K152" s="63">
        <f t="shared" si="114"/>
        <v>0</v>
      </c>
      <c r="L152" s="63">
        <f t="shared" si="115"/>
        <v>0</v>
      </c>
      <c r="M152" s="63">
        <f t="shared" ca="1" si="132"/>
        <v>-1.3678800314664841E-9</v>
      </c>
      <c r="N152" s="123"/>
      <c r="O152" s="63">
        <f t="shared" si="133"/>
        <v>3311.5783795725488</v>
      </c>
      <c r="P152" s="63">
        <f t="shared" si="118"/>
        <v>0</v>
      </c>
      <c r="Q152" s="4">
        <f t="shared" si="134"/>
        <v>8.2480797677544029</v>
      </c>
      <c r="R152" s="4">
        <f t="shared" si="135"/>
        <v>-3319.8264593403032</v>
      </c>
      <c r="S152" s="4">
        <f t="shared" si="120"/>
        <v>0</v>
      </c>
      <c r="T152" s="63">
        <f t="shared" si="121"/>
        <v>0</v>
      </c>
      <c r="U152" s="4">
        <f t="shared" si="122"/>
        <v>0</v>
      </c>
      <c r="V152" s="123"/>
      <c r="W152" s="63">
        <f t="shared" ca="1" si="123"/>
        <v>149364.59407230985</v>
      </c>
      <c r="X152" s="4">
        <f t="shared" si="127"/>
        <v>0</v>
      </c>
      <c r="Y152" s="4">
        <f t="shared" ca="1" si="136"/>
        <v>741.28625984023893</v>
      </c>
      <c r="Z152" s="4">
        <f t="shared" si="129"/>
        <v>0</v>
      </c>
      <c r="AA152" s="4">
        <f t="shared" si="124"/>
        <v>0</v>
      </c>
      <c r="AB152" s="4">
        <f ca="1">-SUM(W152:AA152)*IFERROR(IF(C152&lt;$F$8,IF($F$23="yes",M59/SUM(M59:$M$60),L59/SUM(L59:$L$60)),IF($F$23="yes",M90/SUM(M90:$M$91),L90/SUM(L90:$L$91))),0)</f>
        <v>-150105.88033215009</v>
      </c>
      <c r="AC152" s="4">
        <f t="shared" ca="1" si="125"/>
        <v>0</v>
      </c>
      <c r="AD152" s="123"/>
      <c r="AE152" s="162"/>
      <c r="AF152" s="163"/>
      <c r="AG152" s="162"/>
      <c r="AH152" s="163"/>
      <c r="AI152" s="163"/>
      <c r="AJ152" s="163"/>
      <c r="AK152" s="163"/>
      <c r="AL152" s="123"/>
      <c r="AM152" s="70"/>
      <c r="AN152" s="70"/>
      <c r="AO152" s="70"/>
      <c r="AT152" s="125"/>
      <c r="AV152" s="4"/>
    </row>
    <row r="153" spans="1:48" s="2" customFormat="1" outlineLevel="1" x14ac:dyDescent="0.55000000000000004">
      <c r="A153"/>
      <c r="B153" s="8"/>
      <c r="C153" s="6"/>
      <c r="D153" s="13"/>
      <c r="E153" s="7"/>
      <c r="F153" s="7"/>
      <c r="G153" s="7"/>
      <c r="H153" s="7"/>
      <c r="I153" s="7"/>
      <c r="J153" s="7"/>
      <c r="K153" s="7"/>
      <c r="L153" s="7"/>
      <c r="M153" s="7"/>
      <c r="O153" s="7"/>
      <c r="P153" s="7"/>
      <c r="Q153" s="7"/>
      <c r="R153" s="7"/>
      <c r="S153" s="7"/>
      <c r="T153" s="7"/>
      <c r="U153" s="7"/>
      <c r="W153" s="7"/>
      <c r="X153" s="7"/>
      <c r="Y153" s="7"/>
      <c r="Z153" s="7"/>
      <c r="AA153" s="7"/>
      <c r="AB153" s="7"/>
      <c r="AC153" s="7"/>
      <c r="AE153" s="166"/>
      <c r="AF153" s="166"/>
      <c r="AG153" s="166"/>
      <c r="AH153" s="166"/>
      <c r="AI153" s="166"/>
      <c r="AJ153" s="166"/>
      <c r="AK153" s="166"/>
      <c r="AM153" s="70"/>
      <c r="AN153" s="70"/>
      <c r="AO153" s="70"/>
    </row>
    <row r="154" spans="1:48" s="2" customFormat="1" outlineLevel="1" x14ac:dyDescent="0.55000000000000004">
      <c r="A154" s="9"/>
      <c r="B154" s="4"/>
      <c r="C154" s="4"/>
      <c r="D154" s="13"/>
      <c r="AE154" s="164"/>
      <c r="AF154" s="164"/>
      <c r="AG154" s="164"/>
      <c r="AH154" s="164"/>
      <c r="AI154" s="164"/>
      <c r="AJ154" s="164"/>
      <c r="AK154" s="164"/>
      <c r="AM154" s="70"/>
      <c r="AN154" s="70"/>
      <c r="AO154" s="70"/>
    </row>
    <row r="155" spans="1:48" s="2" customFormat="1" outlineLevel="1" x14ac:dyDescent="0.55000000000000004">
      <c r="A155" s="9"/>
      <c r="B155" s="24"/>
      <c r="C155" s="24"/>
      <c r="D155" s="13"/>
      <c r="F155" s="52">
        <f t="shared" ref="F155:L155" ca="1" si="137">SUM(F132:F152)</f>
        <v>-4234766.1535662161</v>
      </c>
      <c r="G155" s="52">
        <f t="shared" si="137"/>
        <v>9900000</v>
      </c>
      <c r="H155" s="52">
        <f t="shared" ca="1" si="137"/>
        <v>175265.24817716735</v>
      </c>
      <c r="I155" s="52">
        <f t="shared" si="137"/>
        <v>-2831963.6855804701</v>
      </c>
      <c r="J155" s="52">
        <f t="shared" ca="1" si="137"/>
        <v>-3050995.0288829361</v>
      </c>
      <c r="K155" s="52">
        <f t="shared" ca="1" si="137"/>
        <v>8468.393858208321</v>
      </c>
      <c r="L155" s="52">
        <f t="shared" ca="1" si="137"/>
        <v>33991.225994246081</v>
      </c>
      <c r="P155" s="52">
        <f t="shared" ref="P155:T155" si="138">SUM(P132:P152)</f>
        <v>116969.28841433441</v>
      </c>
      <c r="Q155" s="52">
        <f t="shared" si="138"/>
        <v>4019.9163954382652</v>
      </c>
      <c r="R155" s="52">
        <f t="shared" si="138"/>
        <v>-108067.98257263552</v>
      </c>
      <c r="S155" s="52">
        <f t="shared" si="138"/>
        <v>-13719.162115924533</v>
      </c>
      <c r="T155" s="52">
        <f t="shared" si="138"/>
        <v>797.93987878736516</v>
      </c>
      <c r="X155" s="52">
        <f t="shared" ref="X155:AB155" ca="1" si="139">SUM(X132:X152)</f>
        <v>4117796.8651518817</v>
      </c>
      <c r="Y155" s="52">
        <f t="shared" ca="1" si="139"/>
        <v>185671.67236822832</v>
      </c>
      <c r="Z155" s="52">
        <f t="shared" si="139"/>
        <v>0</v>
      </c>
      <c r="AA155" s="52">
        <f t="shared" ca="1" si="139"/>
        <v>5250.7682577162122</v>
      </c>
      <c r="AB155" s="52">
        <f t="shared" ca="1" si="139"/>
        <v>-4308719.3057778273</v>
      </c>
      <c r="AE155" s="164"/>
      <c r="AF155" s="167"/>
      <c r="AG155" s="167"/>
      <c r="AH155" s="167"/>
      <c r="AI155" s="167"/>
      <c r="AJ155" s="167"/>
      <c r="AK155" s="164"/>
      <c r="AM155" s="70"/>
      <c r="AN155" s="70"/>
      <c r="AO155" s="70"/>
    </row>
    <row r="156" spans="1:48" s="2" customFormat="1" x14ac:dyDescent="0.55000000000000004">
      <c r="A156" s="9"/>
      <c r="B156" s="24"/>
      <c r="C156" s="24"/>
      <c r="D156" s="4"/>
      <c r="E156" s="4"/>
      <c r="AD156" s="164"/>
      <c r="AE156" s="164"/>
      <c r="AF156" s="164"/>
      <c r="AG156" s="164"/>
      <c r="AH156" s="164"/>
      <c r="AI156" s="164"/>
      <c r="AJ156" s="164"/>
      <c r="AL156" s="70"/>
      <c r="AM156" s="70"/>
      <c r="AN156" s="70"/>
    </row>
    <row r="157" spans="1:48" s="2" customFormat="1" x14ac:dyDescent="0.55000000000000004">
      <c r="A157" s="9"/>
      <c r="B157" s="24"/>
      <c r="C157" s="24"/>
      <c r="D157" s="4"/>
      <c r="E157" s="4"/>
      <c r="AL157" s="70"/>
      <c r="AM157" s="70"/>
      <c r="AN157" s="70"/>
    </row>
    <row r="158" spans="1:48" s="70" customFormat="1" ht="18.3" x14ac:dyDescent="0.55000000000000004">
      <c r="B158" s="144" t="s">
        <v>168</v>
      </c>
      <c r="AG158" s="75"/>
      <c r="AK158" s="55"/>
    </row>
    <row r="159" spans="1:48" s="70" customFormat="1" outlineLevel="1" x14ac:dyDescent="0.55000000000000004">
      <c r="B159" s="55"/>
      <c r="C159" s="55"/>
      <c r="D159" s="55"/>
      <c r="E159" s="55"/>
      <c r="F159" s="55"/>
      <c r="G159" s="55"/>
      <c r="H159" s="55"/>
      <c r="I159" s="55"/>
      <c r="J159" s="55"/>
      <c r="K159" s="55"/>
      <c r="L159" s="55"/>
      <c r="M159" s="55"/>
      <c r="N159" s="55"/>
      <c r="O159" s="55"/>
      <c r="P159" s="55"/>
      <c r="Q159" s="55"/>
      <c r="R159" s="55"/>
      <c r="S159" s="55"/>
      <c r="T159" s="55"/>
      <c r="U159" s="55"/>
      <c r="V159" s="55"/>
      <c r="AF159" s="75"/>
    </row>
    <row r="160" spans="1:48" s="70" customFormat="1" outlineLevel="1" x14ac:dyDescent="0.55000000000000004">
      <c r="B160" s="183" t="s">
        <v>10</v>
      </c>
      <c r="C160" s="183"/>
      <c r="E160" s="183" t="s">
        <v>123</v>
      </c>
      <c r="F160" s="183"/>
      <c r="G160" s="183"/>
      <c r="H160" s="183"/>
      <c r="I160" s="183"/>
      <c r="J160" s="183"/>
      <c r="L160" s="183" t="s">
        <v>378</v>
      </c>
      <c r="M160" s="183"/>
      <c r="N160" s="183"/>
      <c r="O160" s="183"/>
      <c r="P160" s="183"/>
      <c r="R160" s="183" t="s">
        <v>462</v>
      </c>
      <c r="S160" s="183"/>
      <c r="T160" s="183"/>
      <c r="U160" s="183"/>
      <c r="V160" s="183"/>
      <c r="W160" s="183"/>
      <c r="X160" s="183"/>
      <c r="Y160" s="183"/>
      <c r="Z160" s="170"/>
      <c r="AA160" s="152" t="s">
        <v>142</v>
      </c>
      <c r="AC160" s="184" t="s">
        <v>5</v>
      </c>
      <c r="AD160" s="184"/>
      <c r="AF160" s="75"/>
    </row>
    <row r="161" spans="2:32" s="70" customFormat="1" ht="25.8" outlineLevel="1" x14ac:dyDescent="0.55000000000000004">
      <c r="B161" s="146" t="s">
        <v>145</v>
      </c>
      <c r="C161" s="146" t="s">
        <v>10</v>
      </c>
      <c r="E161" s="54" t="s">
        <v>11</v>
      </c>
      <c r="F161" s="54" t="s">
        <v>13</v>
      </c>
      <c r="G161" s="54" t="s">
        <v>381</v>
      </c>
      <c r="H161" s="54" t="s">
        <v>337</v>
      </c>
      <c r="I161" s="54" t="s">
        <v>382</v>
      </c>
      <c r="J161" s="54" t="s">
        <v>14</v>
      </c>
      <c r="L161" s="54" t="s">
        <v>11</v>
      </c>
      <c r="M161" s="54" t="s">
        <v>152</v>
      </c>
      <c r="N161" s="54" t="s">
        <v>13</v>
      </c>
      <c r="O161" s="54" t="s">
        <v>133</v>
      </c>
      <c r="P161" s="54" t="s">
        <v>14</v>
      </c>
      <c r="Q161" s="51"/>
      <c r="R161" s="54" t="s">
        <v>11</v>
      </c>
      <c r="S161" s="54" t="s">
        <v>37</v>
      </c>
      <c r="T161" s="54" t="s">
        <v>40</v>
      </c>
      <c r="U161" s="59" t="s">
        <v>13</v>
      </c>
      <c r="V161" s="56" t="s">
        <v>383</v>
      </c>
      <c r="W161" s="54" t="s">
        <v>384</v>
      </c>
      <c r="X161" s="54" t="s">
        <v>119</v>
      </c>
      <c r="Y161" s="54" t="s">
        <v>14</v>
      </c>
      <c r="Z161" s="168"/>
      <c r="AA161" s="76" t="s">
        <v>14</v>
      </c>
      <c r="AC161" s="160" t="s">
        <v>146</v>
      </c>
      <c r="AD161" s="160" t="s">
        <v>147</v>
      </c>
      <c r="AF161" s="75"/>
    </row>
    <row r="162" spans="2:32" s="70" customFormat="1" outlineLevel="1" x14ac:dyDescent="0.55000000000000004">
      <c r="B162" s="119" t="s">
        <v>298</v>
      </c>
      <c r="C162" s="119" t="s">
        <v>299</v>
      </c>
      <c r="E162" s="147" t="s">
        <v>300</v>
      </c>
      <c r="F162" s="147" t="s">
        <v>301</v>
      </c>
      <c r="G162" s="147" t="s">
        <v>302</v>
      </c>
      <c r="H162" s="147" t="s">
        <v>303</v>
      </c>
      <c r="I162" s="147" t="s">
        <v>304</v>
      </c>
      <c r="J162" s="147" t="s">
        <v>305</v>
      </c>
      <c r="L162" s="60" t="s">
        <v>306</v>
      </c>
      <c r="M162" s="60" t="s">
        <v>307</v>
      </c>
      <c r="N162" s="60" t="s">
        <v>308</v>
      </c>
      <c r="O162" s="60" t="s">
        <v>309</v>
      </c>
      <c r="P162" s="60" t="s">
        <v>310</v>
      </c>
      <c r="Q162" s="61"/>
      <c r="R162" s="60" t="s">
        <v>311</v>
      </c>
      <c r="S162" s="60" t="s">
        <v>312</v>
      </c>
      <c r="T162" s="60" t="s">
        <v>313</v>
      </c>
      <c r="U162" s="60" t="s">
        <v>314</v>
      </c>
      <c r="V162" s="60" t="s">
        <v>315</v>
      </c>
      <c r="W162" s="60" t="s">
        <v>316</v>
      </c>
      <c r="X162" s="60" t="s">
        <v>317</v>
      </c>
      <c r="Y162" s="60" t="s">
        <v>318</v>
      </c>
      <c r="Z162" s="169"/>
      <c r="AA162" s="60" t="s">
        <v>319</v>
      </c>
      <c r="AC162" s="60" t="s">
        <v>320</v>
      </c>
      <c r="AD162" s="60" t="s">
        <v>321</v>
      </c>
      <c r="AF162" s="75"/>
    </row>
    <row r="163" spans="2:32" s="70" customFormat="1" outlineLevel="1" x14ac:dyDescent="0.55000000000000004">
      <c r="B163" s="116"/>
      <c r="C163" s="117">
        <v>0</v>
      </c>
      <c r="L163" s="55"/>
      <c r="N163" s="55"/>
      <c r="O163" s="55"/>
      <c r="P163" s="55"/>
      <c r="Q163" s="55"/>
      <c r="R163" s="51"/>
      <c r="S163" s="51"/>
      <c r="T163" s="51"/>
      <c r="U163" s="64"/>
      <c r="V163" s="51"/>
      <c r="W163" s="51"/>
      <c r="X163" s="51"/>
      <c r="Y163" s="51"/>
      <c r="Z163" s="165"/>
      <c r="AA163" s="51"/>
      <c r="AC163" s="51"/>
      <c r="AD163" s="65"/>
      <c r="AF163" s="75"/>
    </row>
    <row r="164" spans="2:32" s="70" customFormat="1" outlineLevel="1" x14ac:dyDescent="0.55000000000000004">
      <c r="B164" s="1" t="s">
        <v>6</v>
      </c>
      <c r="C164" s="3">
        <v>1</v>
      </c>
      <c r="E164" s="51">
        <f>IF(C164=1,Z39,J163)*(1-(F26="immediate"))</f>
        <v>-900000</v>
      </c>
      <c r="F164" s="51">
        <f>IF($F$27="yes",E164*((1+$F$17)^(1/4)-1),0)</f>
        <v>-4466.6384158834389</v>
      </c>
      <c r="G164" s="51">
        <f>-(E164+F164)*($F$26="time")*IFERROR(IF($F$27="yes",D40/SUM(D40:$D$59),1/COUNT(D40:$D$59)),0)</f>
        <v>0</v>
      </c>
      <c r="H164" s="51">
        <f>-(E164+F164)*($F$26="policies IF")*IFERROR(IF(C164&lt;$F$8,IF($F$27="yes",H40/SUM(H40:$H$59),F40/SUM(F40:$F$59)),IF($F$27="yes",H71/SUM(H71:$H$90),F71/SUM(F71:$F$90))),0)</f>
        <v>0</v>
      </c>
      <c r="I164" s="51">
        <f>-(E164+F164)*($F$26="risk")*IFERROR(IF(C164&lt;$F$8,IF($F$27="yes",R40/SUM(R40:$R$59),Q40/SUM(Q40:$Q$59)),IF($F$27="yes",R71/SUM(R71:$R$90),Q71/SUM(Q71:$Q$90))),0)</f>
        <v>75794.116399897175</v>
      </c>
      <c r="J164" s="51">
        <f t="shared" ref="J164:J175" si="140">SUM(E164:I164)</f>
        <v>-828672.52201598627</v>
      </c>
      <c r="K164" s="123"/>
      <c r="L164" s="51">
        <f ca="1">IF(C164=1,IF(F27="yes",-AD62-AH62,-W62-AA62),P163)</f>
        <v>5674151.9218529072</v>
      </c>
      <c r="M164" s="51">
        <f>IF(C164=$F$8,AS70,0)</f>
        <v>0</v>
      </c>
      <c r="N164" s="51">
        <f ca="1">IF($F$27="yes",(L164+M164)*((1+$F$17)^(1/4)-1),0)</f>
        <v>28160.427724118937</v>
      </c>
      <c r="O164" s="51">
        <f ca="1">-(L164+M164+N164)*IFERROR(IF(C164&lt;$F$8,IF($F$24="yes",R40/SUM(R40:$R$60),Q40/SUM(Q40:$Q$60)),IF($F$24="yes",R71/SUM(R71:$R$90),Q71/SUM(Q71:$Q$90))),0)</f>
        <v>-477852.59026179952</v>
      </c>
      <c r="P164" s="51">
        <f t="shared" ref="P164:P175" ca="1" si="141">SUM(L164:O164)</f>
        <v>5224459.7593152272</v>
      </c>
      <c r="Q164" s="123"/>
      <c r="R164" s="51">
        <f t="shared" ref="R164:R175" si="142">IF(C164=1,0,Y163)</f>
        <v>0</v>
      </c>
      <c r="S164" s="51">
        <f t="shared" ref="S164:S183" si="143">IF($C133&lt;=$F$8,-W39,-W101)</f>
        <v>9000000</v>
      </c>
      <c r="T164" s="51">
        <f>E164</f>
        <v>-900000</v>
      </c>
      <c r="U164" s="51">
        <f t="shared" ref="U164:U175" si="144">IF($F$27="yes",(R164+S164+T164)*((1+$F$17)^(1/4)-1),0)</f>
        <v>40199.745742950952</v>
      </c>
      <c r="V164" s="51">
        <f>-SUM(G164:I164)</f>
        <v>-75794.116399897175</v>
      </c>
      <c r="W164" s="51">
        <f ca="1">O164</f>
        <v>-477852.59026179952</v>
      </c>
      <c r="X164" s="51">
        <f ca="1">IF($C133&lt;$F$8,-AA40,-AA102)</f>
        <v>-463909.24302284658</v>
      </c>
      <c r="Y164" s="51">
        <f t="shared" ref="Y164:Y175" ca="1" si="145">SUM(R164:X164)</f>
        <v>7122643.7960584071</v>
      </c>
      <c r="Z164" s="165"/>
      <c r="AA164" s="51">
        <f t="shared" ref="AA164:AA183" ca="1" si="146">ROUND(M133+U133+AC133,2)</f>
        <v>8936684.5899999999</v>
      </c>
      <c r="AC164" s="51">
        <f t="shared" ref="AC164:AC183" ca="1" si="147">ABS(Y164-AA164)</f>
        <v>1814040.7939415928</v>
      </c>
      <c r="AD164" s="93">
        <f t="shared" ref="AD164:AD175" ca="1" si="148">IFERROR(AC164/ABS(AA164),0)</f>
        <v>0.20298811887928483</v>
      </c>
      <c r="AF164" s="75"/>
    </row>
    <row r="165" spans="2:32" s="70" customFormat="1" outlineLevel="1" x14ac:dyDescent="0.55000000000000004">
      <c r="B165" s="1" t="s">
        <v>7</v>
      </c>
      <c r="C165" s="3">
        <v>2</v>
      </c>
      <c r="E165" s="51">
        <f t="shared" ref="E165:E183" si="149">IF(C165=1,Z40,J164)</f>
        <v>-828672.52201598627</v>
      </c>
      <c r="F165" s="51">
        <f t="shared" ref="F165:F175" si="150">IF($F$27="yes",E165*((1+$F$17)^(1/4)-1),0)</f>
        <v>-4112.645023359577</v>
      </c>
      <c r="G165" s="51">
        <f>-(E165+F165)*($F$26="time")*IFERROR(IF($F$27="yes",D41/SUM(D41:$D$59),1/COUNT(D41:$D$59)),0)</f>
        <v>0</v>
      </c>
      <c r="H165" s="51">
        <f>-(E165+F165)*($F$26="policies IF")*IFERROR(IF(C165&lt;$F$8,IF($F$27="yes",H41/SUM(H41:$H$59),F41/SUM(F41:$F$59)),IF($F$27="yes",H72/SUM(H72:$H$90),F72/SUM(F72:$F$90))),0)</f>
        <v>0</v>
      </c>
      <c r="I165" s="51">
        <f>-(E165+F165)*($F$26="risk")*IFERROR(IF(C165&lt;$F$8,IF($F$27="yes",R41/SUM(R41:$R$59),Q41/SUM(Q41:$Q$59)),IF($F$27="yes",R72/SUM(R72:$R$90),Q72/SUM(Q72:$Q$90))),0)</f>
        <v>71681.649597012787</v>
      </c>
      <c r="J165" s="51">
        <f t="shared" si="140"/>
        <v>-761103.51744233305</v>
      </c>
      <c r="K165" s="123"/>
      <c r="L165" s="51">
        <f ca="1">IF(C165=1,IF(F28="yes",-AD63-AH63,-W63-AA63),P164)</f>
        <v>5224459.7593152272</v>
      </c>
      <c r="M165" s="51">
        <f t="shared" ref="M165:M183" si="151">IF(C165=$F$8,AS71,0)</f>
        <v>0</v>
      </c>
      <c r="N165" s="51">
        <f t="shared" ref="N165:N175" ca="1" si="152">IF($F$27="yes",(L165+M165)*((1+$F$17)^(1/4)-1),0)</f>
        <v>25928.636292438379</v>
      </c>
      <c r="O165" s="51">
        <f ca="1">-(L165+M165+N165)*IFERROR(IF(C165&lt;$F$8,IF($F$24="yes",R41/SUM(R41:$R$60),Q41/SUM(Q41:$Q$60)),IF($F$24="yes",R72/SUM(R72:$R$90),Q72/SUM(Q72:$Q$90))),0)</f>
        <v>-451925.07758052973</v>
      </c>
      <c r="P165" s="51">
        <f t="shared" ca="1" si="141"/>
        <v>4798463.318027135</v>
      </c>
      <c r="Q165" s="123"/>
      <c r="R165" s="51">
        <f t="shared" ca="1" si="142"/>
        <v>7122643.7960584071</v>
      </c>
      <c r="S165" s="51">
        <f t="shared" si="143"/>
        <v>0</v>
      </c>
      <c r="T165" s="51">
        <f t="shared" ref="T165:T183" si="153">-Z40</f>
        <v>0</v>
      </c>
      <c r="U165" s="51">
        <f t="shared" ca="1" si="144"/>
        <v>35349.193780142588</v>
      </c>
      <c r="V165" s="51">
        <f t="shared" ref="V165:V175" si="154">-SUM(G165:I165)</f>
        <v>-71681.649597012787</v>
      </c>
      <c r="W165" s="51">
        <f t="shared" ref="W165:W175" ca="1" si="155">O165</f>
        <v>-451925.07758052973</v>
      </c>
      <c r="X165" s="51">
        <f t="shared" ref="X165:X183" ca="1" si="156">IF($C134&lt;$F$8,-AA41,-AA103)</f>
        <v>-415646.7858264058</v>
      </c>
      <c r="Y165" s="51">
        <f t="shared" ca="1" si="145"/>
        <v>6218739.4768346027</v>
      </c>
      <c r="Z165" s="165"/>
      <c r="AA165" s="51">
        <f t="shared" ca="1" si="146"/>
        <v>8045980.4900000002</v>
      </c>
      <c r="AC165" s="51">
        <f t="shared" ca="1" si="147"/>
        <v>1827241.0131653976</v>
      </c>
      <c r="AD165" s="93">
        <f t="shared" ca="1" si="148"/>
        <v>0.22709985631165724</v>
      </c>
      <c r="AF165" s="75"/>
    </row>
    <row r="166" spans="2:32" s="70" customFormat="1" outlineLevel="1" x14ac:dyDescent="0.55000000000000004">
      <c r="B166" s="1" t="s">
        <v>8</v>
      </c>
      <c r="C166" s="3">
        <v>3</v>
      </c>
      <c r="E166" s="51">
        <f t="shared" si="149"/>
        <v>-761103.51744233305</v>
      </c>
      <c r="F166" s="51">
        <f t="shared" si="150"/>
        <v>-3777.3046771910404</v>
      </c>
      <c r="G166" s="51">
        <f>-(E166+F166)*($F$26="time")*IFERROR(IF($F$27="yes",D42/SUM(D42:$D$59),1/COUNT(D42:$D$59)),0)</f>
        <v>0</v>
      </c>
      <c r="H166" s="51">
        <f>-(E166+F166)*($F$26="policies IF")*IFERROR(IF(C166&lt;$F$8,IF($F$27="yes",H42/SUM(H42:$H$59),F42/SUM(F42:$F$59)),IF($F$27="yes",H73/SUM(H73:$H$90),F73/SUM(F73:$F$90))),0)</f>
        <v>0</v>
      </c>
      <c r="I166" s="51">
        <f>-(E166+F166)*($F$26="risk")*IFERROR(IF(C166&lt;$F$8,IF($F$27="yes",R42/SUM(R42:$R$59),Q42/SUM(Q42:$Q$59)),IF($F$27="yes",R73/SUM(R73:$R$90),Q73/SUM(Q73:$Q$90))),0)</f>
        <v>67792.318625880696</v>
      </c>
      <c r="J166" s="51">
        <f t="shared" si="140"/>
        <v>-697088.50349364337</v>
      </c>
      <c r="K166" s="123"/>
      <c r="L166" s="51">
        <f ca="1">IF(C166=1,IF(F30="yes",-AD65-AH65,-W65-AA65),P165)</f>
        <v>4798463.318027135</v>
      </c>
      <c r="M166" s="51">
        <f t="shared" si="151"/>
        <v>0</v>
      </c>
      <c r="N166" s="51">
        <f t="shared" ca="1" si="152"/>
        <v>23814.445103897237</v>
      </c>
      <c r="O166" s="51">
        <f ca="1">-(L166+M166+N166)*IFERROR(IF(C166&lt;$F$8,IF($F$24="yes",R42/SUM(R42:$R$60),Q42/SUM(Q42:$Q$60)),IF($F$24="yes",R73/SUM(R73:$R$90),Q73/SUM(Q73:$Q$90))),0)</f>
        <v>-427404.35001989506</v>
      </c>
      <c r="P166" s="51">
        <f t="shared" ca="1" si="141"/>
        <v>4394873.4131111363</v>
      </c>
      <c r="Q166" s="123"/>
      <c r="R166" s="51">
        <f t="shared" ca="1" si="142"/>
        <v>6218739.4768346027</v>
      </c>
      <c r="S166" s="51">
        <f t="shared" si="143"/>
        <v>0</v>
      </c>
      <c r="T166" s="51">
        <f t="shared" si="153"/>
        <v>0</v>
      </c>
      <c r="U166" s="51">
        <f t="shared" ca="1" si="144"/>
        <v>30863.178495111464</v>
      </c>
      <c r="V166" s="51">
        <f t="shared" si="154"/>
        <v>-67792.318625880696</v>
      </c>
      <c r="W166" s="51">
        <f t="shared" ca="1" si="155"/>
        <v>-427404.35001989506</v>
      </c>
      <c r="X166" s="51">
        <f t="shared" ca="1" si="156"/>
        <v>-371255.87889310409</v>
      </c>
      <c r="Y166" s="51">
        <f t="shared" ca="1" si="145"/>
        <v>5383150.1077908343</v>
      </c>
      <c r="Z166" s="165"/>
      <c r="AA166" s="51">
        <f t="shared" ca="1" si="146"/>
        <v>7222828.8399999999</v>
      </c>
      <c r="AC166" s="51">
        <f t="shared" ca="1" si="147"/>
        <v>1839678.7322091656</v>
      </c>
      <c r="AD166" s="93">
        <f t="shared" ca="1" si="148"/>
        <v>0.25470335417904844</v>
      </c>
      <c r="AF166" s="75"/>
    </row>
    <row r="167" spans="2:32" s="70" customFormat="1" outlineLevel="1" x14ac:dyDescent="0.55000000000000004">
      <c r="B167" s="1" t="s">
        <v>9</v>
      </c>
      <c r="C167" s="3">
        <v>4</v>
      </c>
      <c r="E167" s="51">
        <f t="shared" si="149"/>
        <v>-697088.50349364337</v>
      </c>
      <c r="F167" s="51">
        <f t="shared" si="150"/>
        <v>-3459.6025433060049</v>
      </c>
      <c r="G167" s="51">
        <f>-(E167+F167)*($F$26="time")*IFERROR(IF($F$27="yes",D43/SUM(D43:$D$59),1/COUNT(D43:$D$59)),0)</f>
        <v>0</v>
      </c>
      <c r="H167" s="51">
        <f>-(E167+F167)*($F$26="policies IF")*IFERROR(IF(C167&lt;$F$8,IF($F$27="yes",H43/SUM(H43:$H$59),F43/SUM(F43:$F$59)),IF($F$27="yes",H74/SUM(H74:$H$90),F74/SUM(F74:$F$90))),0)</f>
        <v>0</v>
      </c>
      <c r="I167" s="51">
        <f>-(E167+F167)*($F$26="risk")*IFERROR(IF(C167&lt;$F$8,IF($F$27="yes",R43/SUM(R43:$R$59),Q43/SUM(Q43:$Q$59)),IF($F$27="yes",R74/SUM(R74:$R$90),Q74/SUM(Q74:$Q$90))),0)</f>
        <v>64114.01649529639</v>
      </c>
      <c r="J167" s="51">
        <f t="shared" si="140"/>
        <v>-636434.08954165294</v>
      </c>
      <c r="K167" s="123"/>
      <c r="L167" s="51">
        <f ca="1">IF(C167=1,IF(F31="yes",-AD66-AH66,-W66-AA66),P166)</f>
        <v>4394873.4131111363</v>
      </c>
      <c r="M167" s="51">
        <f t="shared" si="151"/>
        <v>0</v>
      </c>
      <c r="N167" s="51">
        <f t="shared" ca="1" si="152"/>
        <v>21811.4560221633</v>
      </c>
      <c r="O167" s="51">
        <f ca="1">-(L167+M167+N167)*IFERROR(IF(C167&lt;$F$8,IF($F$24="yes",R43/SUM(R43:$R$60),Q43/SUM(Q43:$Q$60)),IF($F$24="yes",R74/SUM(R74:$R$90),Q74/SUM(Q74:$Q$90))),0)</f>
        <v>-404214.07768277213</v>
      </c>
      <c r="P167" s="51">
        <f t="shared" ca="1" si="141"/>
        <v>4012470.791450527</v>
      </c>
      <c r="Q167" s="123"/>
      <c r="R167" s="51">
        <f t="shared" ca="1" si="142"/>
        <v>5383150.1077908343</v>
      </c>
      <c r="S167" s="51">
        <f t="shared" si="143"/>
        <v>0</v>
      </c>
      <c r="T167" s="51">
        <f t="shared" si="153"/>
        <v>0</v>
      </c>
      <c r="U167" s="51">
        <f t="shared" ca="1" si="144"/>
        <v>26716.205633250687</v>
      </c>
      <c r="V167" s="51">
        <f t="shared" si="154"/>
        <v>-64114.01649529639</v>
      </c>
      <c r="W167" s="51">
        <f t="shared" ca="1" si="155"/>
        <v>-404214.07768277213</v>
      </c>
      <c r="X167" s="51">
        <f t="shared" ca="1" si="156"/>
        <v>-330458.47741764889</v>
      </c>
      <c r="Y167" s="51">
        <f t="shared" ca="1" si="145"/>
        <v>4611079.741828368</v>
      </c>
      <c r="Z167" s="165"/>
      <c r="AA167" s="51">
        <f t="shared" ca="1" si="146"/>
        <v>6462506</v>
      </c>
      <c r="AC167" s="51">
        <f t="shared" ca="1" si="147"/>
        <v>1851426.258171632</v>
      </c>
      <c r="AD167" s="93">
        <f t="shared" ca="1" si="148"/>
        <v>0.28648735616982512</v>
      </c>
      <c r="AF167" s="75"/>
    </row>
    <row r="168" spans="2:32" s="70" customFormat="1" outlineLevel="1" x14ac:dyDescent="0.55000000000000004">
      <c r="B168" s="1" t="s">
        <v>15</v>
      </c>
      <c r="C168" s="3">
        <v>5</v>
      </c>
      <c r="E168" s="51">
        <f t="shared" si="149"/>
        <v>-636434.08954165294</v>
      </c>
      <c r="F168" s="51">
        <f t="shared" si="150"/>
        <v>-3158.5788372494976</v>
      </c>
      <c r="G168" s="51">
        <f>-(E168+F168)*($F$26="time")*IFERROR(IF($F$27="yes",D44/SUM(D44:$D$59),1/COUNT(D44:$D$59)),0)</f>
        <v>0</v>
      </c>
      <c r="H168" s="51">
        <f>-(E168+F168)*($F$26="policies IF")*IFERROR(IF(C168&lt;$F$8,IF($F$27="yes",H44/SUM(H44:$H$59),F44/SUM(F44:$F$59)),IF($F$27="yes",H75/SUM(H75:$H$90),F75/SUM(F75:$F$90))),0)</f>
        <v>0</v>
      </c>
      <c r="I168" s="51">
        <f>-(E168+F168)*($F$26="risk")*IFERROR(IF(C168&lt;$F$8,IF($F$27="yes",R44/SUM(R44:$R$59),Q44/SUM(Q44:$Q$59)),IF($F$27="yes",R75/SUM(R75:$R$90),Q75/SUM(Q75:$Q$90))),0)</f>
        <v>60635.293119917762</v>
      </c>
      <c r="J168" s="51">
        <f t="shared" si="140"/>
        <v>-578957.37525898474</v>
      </c>
      <c r="K168" s="123"/>
      <c r="L168" s="51">
        <f t="shared" ref="L168:L183" ca="1" si="157">IF(C168=1,IF(F34="yes",-AD67-AH67,-W67-AA67),P167)</f>
        <v>4012470.791450527</v>
      </c>
      <c r="M168" s="51">
        <f t="shared" si="151"/>
        <v>0</v>
      </c>
      <c r="N168" s="51">
        <f t="shared" ca="1" si="152"/>
        <v>19913.617977447946</v>
      </c>
      <c r="O168" s="51">
        <f ca="1">-(L168+M168+N168)*IFERROR(IF(C168&lt;$F$8,IF($F$24="yes",R44/SUM(R44:$R$60),Q44/SUM(Q44:$Q$60)),IF($F$24="yes",R75/SUM(R75:$R$90),Q75/SUM(Q75:$Q$90))),0)</f>
        <v>-382282.07220943953</v>
      </c>
      <c r="P168" s="51">
        <f t="shared" ca="1" si="141"/>
        <v>3650102.3372185351</v>
      </c>
      <c r="Q168" s="123"/>
      <c r="R168" s="51">
        <f t="shared" ca="1" si="142"/>
        <v>4611079.741828368</v>
      </c>
      <c r="S168" s="51">
        <f t="shared" si="143"/>
        <v>0</v>
      </c>
      <c r="T168" s="51">
        <f t="shared" si="153"/>
        <v>0</v>
      </c>
      <c r="U168" s="51">
        <f t="shared" ca="1" si="144"/>
        <v>22884.473237280534</v>
      </c>
      <c r="V168" s="51">
        <f t="shared" si="154"/>
        <v>-60635.293119917762</v>
      </c>
      <c r="W168" s="51">
        <f t="shared" ca="1" si="155"/>
        <v>-382282.07220943953</v>
      </c>
      <c r="X168" s="51">
        <f t="shared" ca="1" si="156"/>
        <v>-292995.31138285052</v>
      </c>
      <c r="Y168" s="51">
        <f t="shared" ca="1" si="145"/>
        <v>3898051.5383534408</v>
      </c>
      <c r="Z168" s="165"/>
      <c r="AA168" s="51">
        <f t="shared" ca="1" si="146"/>
        <v>5760602.0199999996</v>
      </c>
      <c r="AC168" s="51">
        <f t="shared" ca="1" si="147"/>
        <v>1862550.4816465587</v>
      </c>
      <c r="AD168" s="93">
        <f t="shared" ca="1" si="148"/>
        <v>0.32332566547385944</v>
      </c>
      <c r="AF168" s="75"/>
    </row>
    <row r="169" spans="2:32" s="70" customFormat="1" outlineLevel="1" x14ac:dyDescent="0.55000000000000004">
      <c r="B169" s="1" t="s">
        <v>16</v>
      </c>
      <c r="C169" s="3">
        <v>6</v>
      </c>
      <c r="E169" s="51">
        <f t="shared" si="149"/>
        <v>-578957.37525898474</v>
      </c>
      <c r="F169" s="51">
        <f t="shared" si="150"/>
        <v>-2873.3258372120285</v>
      </c>
      <c r="G169" s="51">
        <f>-(E169+F169)*($F$26="time")*IFERROR(IF($F$27="yes",D45/SUM(D45:$D$59),1/COUNT(D45:$D$59)),0)</f>
        <v>0</v>
      </c>
      <c r="H169" s="51">
        <f>-(E169+F169)*($F$26="policies IF")*IFERROR(IF(C169&lt;$F$8,IF($F$27="yes",H45/SUM(H45:$H$59),F45/SUM(F45:$F$59)),IF($F$27="yes",H76/SUM(H76:$H$90),F76/SUM(F76:$F$90))),0)</f>
        <v>0</v>
      </c>
      <c r="I169" s="51">
        <f>-(E169+F169)*($F$26="risk")*IFERROR(IF(C169&lt;$F$8,IF($F$27="yes",R45/SUM(R45:$R$59),Q45/SUM(Q45:$Q$59)),IF($F$27="yes",R76/SUM(R76:$R$90),Q76/SUM(Q76:$Q$90))),0)</f>
        <v>57345.319677610234</v>
      </c>
      <c r="J169" s="51">
        <f t="shared" si="140"/>
        <v>-524485.38141858659</v>
      </c>
      <c r="K169" s="123"/>
      <c r="L169" s="51">
        <f t="shared" ca="1" si="157"/>
        <v>3650102.3372185351</v>
      </c>
      <c r="M169" s="51">
        <f t="shared" si="151"/>
        <v>0</v>
      </c>
      <c r="N169" s="51">
        <f t="shared" ca="1" si="152"/>
        <v>18115.20813480693</v>
      </c>
      <c r="O169" s="51">
        <f ca="1">-(L169+M169+N169)*IFERROR(IF(C169&lt;$F$8,IF($F$24="yes",R45/SUM(R45:$R$60),Q45/SUM(Q45:$Q$60)),IF($F$24="yes",R76/SUM(R76:$R$90),Q76/SUM(Q76:$Q$90))),0)</f>
        <v>-361540.06206442363</v>
      </c>
      <c r="P169" s="51">
        <f t="shared" ca="1" si="141"/>
        <v>3306677.4832889182</v>
      </c>
      <c r="Q169" s="123"/>
      <c r="R169" s="51">
        <f t="shared" ca="1" si="142"/>
        <v>3898051.5383534408</v>
      </c>
      <c r="S169" s="51">
        <f t="shared" si="143"/>
        <v>0</v>
      </c>
      <c r="T169" s="51">
        <f t="shared" si="153"/>
        <v>0</v>
      </c>
      <c r="U169" s="51">
        <f t="shared" ca="1" si="144"/>
        <v>19345.76305367002</v>
      </c>
      <c r="V169" s="51">
        <f t="shared" si="154"/>
        <v>-57345.319677610234</v>
      </c>
      <c r="W169" s="51">
        <f t="shared" ca="1" si="155"/>
        <v>-361540.06206442363</v>
      </c>
      <c r="X169" s="51">
        <f t="shared" ca="1" si="156"/>
        <v>-258624.6667364304</v>
      </c>
      <c r="Y169" s="51">
        <f t="shared" ca="1" si="145"/>
        <v>3239887.2529286463</v>
      </c>
      <c r="Z169" s="165"/>
      <c r="AA169" s="51">
        <f t="shared" ca="1" si="146"/>
        <v>5113000.58</v>
      </c>
      <c r="AC169" s="51">
        <f t="shared" ca="1" si="147"/>
        <v>1873113.3270713538</v>
      </c>
      <c r="AD169" s="93">
        <f t="shared" ca="1" si="148"/>
        <v>0.36634326512659104</v>
      </c>
      <c r="AF169" s="75"/>
    </row>
    <row r="170" spans="2:32" s="70" customFormat="1" outlineLevel="1" x14ac:dyDescent="0.55000000000000004">
      <c r="B170" s="1" t="s">
        <v>17</v>
      </c>
      <c r="C170" s="3">
        <v>7</v>
      </c>
      <c r="E170" s="51">
        <f t="shared" si="149"/>
        <v>-524485.38141858659</v>
      </c>
      <c r="F170" s="51">
        <f t="shared" si="150"/>
        <v>-2602.9850591261525</v>
      </c>
      <c r="G170" s="51">
        <f>-(E170+F170)*($F$26="time")*IFERROR(IF($F$27="yes",D46/SUM(D46:$D$59),1/COUNT(D46:$D$59)),0)</f>
        <v>0</v>
      </c>
      <c r="H170" s="51">
        <f>-(E170+F170)*($F$26="policies IF")*IFERROR(IF(C170&lt;$F$8,IF($F$27="yes",H46/SUM(H46:$H$59),F46/SUM(F46:$F$59)),IF($F$27="yes",H77/SUM(H77:$H$90),F77/SUM(F77:$F$90))),0)</f>
        <v>0</v>
      </c>
      <c r="I170" s="51">
        <f>-(E170+F170)*($F$26="risk")*IFERROR(IF(C170&lt;$F$8,IF($F$27="yes",R46/SUM(R46:$R$59),Q46/SUM(Q46:$Q$59)),IF($F$27="yes",R77/SUM(R77:$R$90),Q77/SUM(Q77:$Q$90))),0)</f>
        <v>42322.009402615658</v>
      </c>
      <c r="J170" s="51">
        <f t="shared" si="140"/>
        <v>-484766.3570750971</v>
      </c>
      <c r="K170" s="123"/>
      <c r="L170" s="51">
        <f t="shared" ca="1" si="157"/>
        <v>3306677.4832889182</v>
      </c>
      <c r="M170" s="51">
        <f t="shared" ca="1" si="151"/>
        <v>1266023.4792168476</v>
      </c>
      <c r="N170" s="51">
        <f t="shared" ca="1" si="152"/>
        <v>22694.001981639365</v>
      </c>
      <c r="O170" s="51">
        <f ca="1">-(L170+M170+N170)*IFERROR(IF(C170&lt;$F$8,IF($F$24="yes",R46/SUM(R46:$R$60),Q46/SUM(Q46:$Q$60)),IF($F$24="yes",R77/SUM(R77:$R$90),Q77/SUM(Q77:$Q$90))),0)</f>
        <v>-368982.43494811072</v>
      </c>
      <c r="P170" s="51">
        <f t="shared" ca="1" si="141"/>
        <v>4226412.5295392936</v>
      </c>
      <c r="Q170" s="123"/>
      <c r="R170" s="51">
        <f t="shared" ca="1" si="142"/>
        <v>3239887.2529286463</v>
      </c>
      <c r="S170" s="51">
        <f t="shared" si="143"/>
        <v>0</v>
      </c>
      <c r="T170" s="51">
        <f t="shared" si="153"/>
        <v>0</v>
      </c>
      <c r="U170" s="51">
        <f t="shared" ca="1" si="144"/>
        <v>16079.338741180174</v>
      </c>
      <c r="V170" s="51">
        <f t="shared" si="154"/>
        <v>-42322.009402615658</v>
      </c>
      <c r="W170" s="51">
        <f t="shared" ca="1" si="155"/>
        <v>-368982.43494811072</v>
      </c>
      <c r="X170" s="51">
        <f t="shared" ca="1" si="156"/>
        <v>679051.76639708946</v>
      </c>
      <c r="Y170" s="51">
        <f t="shared" ca="1" si="145"/>
        <v>3523713.9137161896</v>
      </c>
      <c r="Z170" s="165"/>
      <c r="AA170" s="51">
        <f t="shared" ca="1" si="146"/>
        <v>4604728.1900000004</v>
      </c>
      <c r="AC170" s="51">
        <f t="shared" ca="1" si="147"/>
        <v>1081014.2762838108</v>
      </c>
      <c r="AD170" s="93">
        <f t="shared" ca="1" si="148"/>
        <v>0.23476179954148624</v>
      </c>
      <c r="AF170" s="75"/>
    </row>
    <row r="171" spans="2:32" s="70" customFormat="1" outlineLevel="1" x14ac:dyDescent="0.55000000000000004">
      <c r="B171" s="1" t="s">
        <v>18</v>
      </c>
      <c r="C171" s="3">
        <v>8</v>
      </c>
      <c r="E171" s="51">
        <f t="shared" si="149"/>
        <v>-484766.3570750971</v>
      </c>
      <c r="F171" s="51">
        <f t="shared" si="150"/>
        <v>-2405.862259154997</v>
      </c>
      <c r="G171" s="51">
        <f>-(E171+F171)*($F$26="time")*IFERROR(IF($F$27="yes",D47/SUM(D47:$D$59),1/COUNT(D47:$D$59)),0)</f>
        <v>0</v>
      </c>
      <c r="H171" s="51">
        <f>-(E171+F171)*($F$26="policies IF")*IFERROR(IF(C171&lt;$F$8,IF($F$27="yes",H47/SUM(H47:$H$59),F47/SUM(F47:$F$59)),IF($F$27="yes",H78/SUM(H78:$H$90),F78/SUM(F78:$F$90))),0)</f>
        <v>0</v>
      </c>
      <c r="I171" s="51">
        <f>-(E171+F171)*($F$26="risk")*IFERROR(IF(C171&lt;$F$8,IF($F$27="yes",R47/SUM(R47:$R$59),Q47/SUM(Q47:$Q$59)),IF($F$27="yes",R78/SUM(R78:$R$90),Q78/SUM(Q78:$Q$90))),0)</f>
        <v>44905.879809241691</v>
      </c>
      <c r="J171" s="51">
        <f t="shared" si="140"/>
        <v>-442266.33952501044</v>
      </c>
      <c r="K171" s="123"/>
      <c r="L171" s="51">
        <f t="shared" ca="1" si="157"/>
        <v>4226412.5295392936</v>
      </c>
      <c r="M171" s="51">
        <f t="shared" si="151"/>
        <v>0</v>
      </c>
      <c r="N171" s="51">
        <f t="shared" ca="1" si="152"/>
        <v>20975.396184234789</v>
      </c>
      <c r="O171" s="51">
        <f ca="1">-(L171+M171+N171)*IFERROR(IF(C171&lt;$F$8,IF($F$24="yes",R47/SUM(R47:$R$60),Q47/SUM(Q47:$Q$60)),IF($F$24="yes",R78/SUM(R78:$R$90),Q78/SUM(Q78:$Q$90))),0)</f>
        <v>-391509.78673704335</v>
      </c>
      <c r="P171" s="51">
        <f t="shared" ca="1" si="141"/>
        <v>3855878.1389864851</v>
      </c>
      <c r="Q171" s="123"/>
      <c r="R171" s="51">
        <f t="shared" ca="1" si="142"/>
        <v>3523713.9137161896</v>
      </c>
      <c r="S171" s="51">
        <f t="shared" si="143"/>
        <v>0</v>
      </c>
      <c r="T171" s="51">
        <f t="shared" si="153"/>
        <v>0</v>
      </c>
      <c r="U171" s="51">
        <f t="shared" ca="1" si="144"/>
        <v>17487.951037319683</v>
      </c>
      <c r="V171" s="51">
        <f t="shared" si="154"/>
        <v>-44905.879809241691</v>
      </c>
      <c r="W171" s="51">
        <f t="shared" ca="1" si="155"/>
        <v>-391509.78673704335</v>
      </c>
      <c r="X171" s="51">
        <f t="shared" ca="1" si="156"/>
        <v>-116742.48025541125</v>
      </c>
      <c r="Y171" s="51">
        <f t="shared" ca="1" si="145"/>
        <v>2988043.7179518128</v>
      </c>
      <c r="Z171" s="165"/>
      <c r="AA171" s="51">
        <f t="shared" ca="1" si="146"/>
        <v>4145570.81</v>
      </c>
      <c r="AC171" s="51">
        <f t="shared" ca="1" si="147"/>
        <v>1157527.0920481873</v>
      </c>
      <c r="AD171" s="93">
        <f t="shared" ca="1" si="148"/>
        <v>0.27922019550504007</v>
      </c>
      <c r="AF171" s="75"/>
    </row>
    <row r="172" spans="2:32" s="70" customFormat="1" outlineLevel="1" x14ac:dyDescent="0.55000000000000004">
      <c r="B172" s="1" t="s">
        <v>19</v>
      </c>
      <c r="C172" s="3">
        <v>9</v>
      </c>
      <c r="E172" s="51">
        <f t="shared" si="149"/>
        <v>-442266.33952501044</v>
      </c>
      <c r="F172" s="51">
        <f t="shared" si="150"/>
        <v>-2194.9375801939555</v>
      </c>
      <c r="G172" s="51">
        <f>-(E172+F172)*($F$26="time")*IFERROR(IF($F$27="yes",D48/SUM(D48:$D$59),1/COUNT(D48:$D$59)),0)</f>
        <v>0</v>
      </c>
      <c r="H172" s="51">
        <f>-(E172+F172)*($F$26="policies IF")*IFERROR(IF(C172&lt;$F$8,IF($F$27="yes",H48/SUM(H48:$H$59),F48/SUM(F48:$F$59)),IF($F$27="yes",H79/SUM(H79:$H$90),F79/SUM(F79:$F$90))),0)</f>
        <v>0</v>
      </c>
      <c r="I172" s="51">
        <f>-(E172+F172)*($F$26="risk")*IFERROR(IF(C172&lt;$F$8,IF($F$27="yes",R48/SUM(R48:$R$59),Q48/SUM(Q48:$Q$59)),IF($F$27="yes",R79/SUM(R79:$R$90),Q79/SUM(Q79:$Q$90))),0)</f>
        <v>43738.495170725517</v>
      </c>
      <c r="J172" s="51">
        <f t="shared" si="140"/>
        <v>-400722.7819344789</v>
      </c>
      <c r="K172" s="123"/>
      <c r="L172" s="51">
        <f t="shared" ca="1" si="157"/>
        <v>3855878.1389864851</v>
      </c>
      <c r="M172" s="51">
        <f t="shared" si="151"/>
        <v>0</v>
      </c>
      <c r="N172" s="51">
        <f t="shared" ca="1" si="152"/>
        <v>19136.459358402419</v>
      </c>
      <c r="O172" s="51">
        <f ca="1">-(L172+M172+N172)*IFERROR(IF(C172&lt;$F$8,IF($F$24="yes",R48/SUM(R48:$R$60),Q48/SUM(Q48:$Q$60)),IF($F$24="yes",R79/SUM(R79:$R$90),Q79/SUM(Q79:$Q$90))),0)</f>
        <v>-381331.99904404936</v>
      </c>
      <c r="P172" s="51">
        <f t="shared" ca="1" si="141"/>
        <v>3493682.5993008381</v>
      </c>
      <c r="Q172" s="123"/>
      <c r="R172" s="51">
        <f t="shared" ca="1" si="142"/>
        <v>2988043.7179518128</v>
      </c>
      <c r="S172" s="51">
        <f t="shared" si="143"/>
        <v>0</v>
      </c>
      <c r="T172" s="51">
        <f t="shared" si="153"/>
        <v>0</v>
      </c>
      <c r="U172" s="51">
        <f t="shared" ca="1" si="144"/>
        <v>14829.456509936386</v>
      </c>
      <c r="V172" s="51">
        <f t="shared" si="154"/>
        <v>-43738.495170725517</v>
      </c>
      <c r="W172" s="51">
        <f t="shared" ca="1" si="155"/>
        <v>-381331.99904404936</v>
      </c>
      <c r="X172" s="51">
        <f t="shared" ca="1" si="156"/>
        <v>-104231.97870777256</v>
      </c>
      <c r="Y172" s="51">
        <f t="shared" ca="1" si="145"/>
        <v>2473570.7015392017</v>
      </c>
      <c r="Z172" s="165"/>
      <c r="AA172" s="51">
        <f t="shared" ca="1" si="146"/>
        <v>3706408.93</v>
      </c>
      <c r="AC172" s="51">
        <f t="shared" ca="1" si="147"/>
        <v>1232838.2284607985</v>
      </c>
      <c r="AD172" s="93">
        <f t="shared" ca="1" si="148"/>
        <v>0.33262336988293367</v>
      </c>
      <c r="AF172" s="75"/>
    </row>
    <row r="173" spans="2:32" s="70" customFormat="1" outlineLevel="1" x14ac:dyDescent="0.55000000000000004">
      <c r="B173" s="1" t="s">
        <v>20</v>
      </c>
      <c r="C173" s="3">
        <v>10</v>
      </c>
      <c r="E173" s="51">
        <f t="shared" si="149"/>
        <v>-400722.7819344789</v>
      </c>
      <c r="F173" s="51">
        <f t="shared" si="150"/>
        <v>-1988.7597465646952</v>
      </c>
      <c r="G173" s="51">
        <f>-(E173+F173)*($F$26="time")*IFERROR(IF($F$27="yes",D49/SUM(D49:$D$59),1/COUNT(D49:$D$59)),0)</f>
        <v>0</v>
      </c>
      <c r="H173" s="51">
        <f>-(E173+F173)*($F$26="policies IF")*IFERROR(IF(C173&lt;$F$8,IF($F$27="yes",H49/SUM(H49:$H$59),F49/SUM(F49:$F$59)),IF($F$27="yes",H80/SUM(H80:$H$90),F80/SUM(F80:$F$90))),0)</f>
        <v>0</v>
      </c>
      <c r="I173" s="51">
        <f>-(E173+F173)*($F$26="risk")*IFERROR(IF(C173&lt;$F$8,IF($F$27="yes",R49/SUM(R49:$R$59),Q49/SUM(Q49:$Q$59)),IF($F$27="yes",R80/SUM(R80:$R$90),Q80/SUM(Q80:$Q$90))),0)</f>
        <v>42601.458159291389</v>
      </c>
      <c r="J173" s="51">
        <f t="shared" si="140"/>
        <v>-360110.08352175215</v>
      </c>
      <c r="K173" s="123"/>
      <c r="L173" s="51">
        <f t="shared" ca="1" si="157"/>
        <v>3493682.5993008381</v>
      </c>
      <c r="M173" s="51">
        <f t="shared" si="151"/>
        <v>0</v>
      </c>
      <c r="N173" s="51">
        <f t="shared" ca="1" si="152"/>
        <v>17338.907678822925</v>
      </c>
      <c r="O173" s="51">
        <f ca="1">-(L173+M173+N173)*IFERROR(IF(C173&lt;$F$8,IF($F$24="yes",R49/SUM(R49:$R$60),Q49/SUM(Q49:$Q$60)),IF($F$24="yes",R80/SUM(R80:$R$90),Q80/SUM(Q80:$Q$90))),0)</f>
        <v>-371418.79570075159</v>
      </c>
      <c r="P173" s="51">
        <f t="shared" ca="1" si="141"/>
        <v>3139602.7112789094</v>
      </c>
      <c r="Q173" s="123"/>
      <c r="R173" s="51">
        <f t="shared" ca="1" si="142"/>
        <v>2473570.7015392017</v>
      </c>
      <c r="S173" s="51">
        <f t="shared" si="143"/>
        <v>0</v>
      </c>
      <c r="T173" s="51">
        <f t="shared" si="153"/>
        <v>0</v>
      </c>
      <c r="U173" s="51">
        <f t="shared" ca="1" si="144"/>
        <v>12276.162133220831</v>
      </c>
      <c r="V173" s="51">
        <f t="shared" si="154"/>
        <v>-42601.458159291389</v>
      </c>
      <c r="W173" s="51">
        <f t="shared" ca="1" si="155"/>
        <v>-371418.79570075159</v>
      </c>
      <c r="X173" s="51">
        <f t="shared" ca="1" si="156"/>
        <v>-92293.034326083987</v>
      </c>
      <c r="Y173" s="51">
        <f t="shared" ca="1" si="145"/>
        <v>1979533.5754862959</v>
      </c>
      <c r="Z173" s="165"/>
      <c r="AA173" s="51">
        <f t="shared" ca="1" si="146"/>
        <v>3286500.54</v>
      </c>
      <c r="AC173" s="51">
        <f t="shared" ca="1" si="147"/>
        <v>1306966.9645137042</v>
      </c>
      <c r="AD173" s="93">
        <f t="shared" ca="1" si="148"/>
        <v>0.39767739229207738</v>
      </c>
      <c r="AF173" s="75"/>
    </row>
    <row r="174" spans="2:32" s="70" customFormat="1" outlineLevel="1" x14ac:dyDescent="0.55000000000000004">
      <c r="B174" s="1" t="s">
        <v>21</v>
      </c>
      <c r="C174" s="3">
        <v>11</v>
      </c>
      <c r="E174" s="51">
        <f t="shared" si="149"/>
        <v>-360110.08352175215</v>
      </c>
      <c r="F174" s="51">
        <f t="shared" si="150"/>
        <v>-1787.2017033391689</v>
      </c>
      <c r="G174" s="51">
        <f>-(E174+F174)*($F$26="time")*IFERROR(IF($F$27="yes",D50/SUM(D50:$D$59),1/COUNT(D50:$D$59)),0)</f>
        <v>0</v>
      </c>
      <c r="H174" s="51">
        <f>-(E174+F174)*($F$26="policies IF")*IFERROR(IF(C174&lt;$F$8,IF($F$27="yes",H50/SUM(H50:$H$59),F50/SUM(F50:$F$59)),IF($F$27="yes",H81/SUM(H81:$H$90),F81/SUM(F81:$F$90))),0)</f>
        <v>0</v>
      </c>
      <c r="I174" s="51">
        <f>-(E174+F174)*($F$26="risk")*IFERROR(IF(C174&lt;$F$8,IF($F$27="yes",R50/SUM(R50:$R$59),Q50/SUM(Q50:$Q$59)),IF($F$27="yes",R81/SUM(R81:$R$90),Q81/SUM(Q81:$Q$90))),0)</f>
        <v>41493.979850330346</v>
      </c>
      <c r="J174" s="51">
        <f t="shared" si="140"/>
        <v>-320403.305374761</v>
      </c>
      <c r="K174" s="123"/>
      <c r="L174" s="51">
        <f t="shared" ca="1" si="157"/>
        <v>3139602.7112789094</v>
      </c>
      <c r="M174" s="51">
        <f t="shared" si="151"/>
        <v>0</v>
      </c>
      <c r="N174" s="51">
        <f t="shared" ca="1" si="152"/>
        <v>15581.633423122421</v>
      </c>
      <c r="O174" s="51">
        <f ca="1">-(L174+M174+N174)*IFERROR(IF(C174&lt;$F$8,IF($F$24="yes",R50/SUM(R50:$R$60),Q50/SUM(Q50:$Q$60)),IF($F$24="yes",R81/SUM(R81:$R$90),Q81/SUM(Q81:$Q$90))),0)</f>
        <v>-361763.29850530403</v>
      </c>
      <c r="P174" s="51">
        <f t="shared" ca="1" si="141"/>
        <v>2793421.046196728</v>
      </c>
      <c r="Q174" s="123"/>
      <c r="R174" s="51">
        <f t="shared" ca="1" si="142"/>
        <v>1979533.5754862959</v>
      </c>
      <c r="S174" s="51">
        <f t="shared" si="143"/>
        <v>0</v>
      </c>
      <c r="T174" s="51">
        <f t="shared" si="153"/>
        <v>0</v>
      </c>
      <c r="U174" s="51">
        <f t="shared" ca="1" si="144"/>
        <v>9824.2896819979887</v>
      </c>
      <c r="V174" s="51">
        <f t="shared" si="154"/>
        <v>-41493.979850330346</v>
      </c>
      <c r="W174" s="51">
        <f t="shared" ca="1" si="155"/>
        <v>-361763.29850530403</v>
      </c>
      <c r="X174" s="51">
        <f t="shared" ca="1" si="156"/>
        <v>-80904.385082307839</v>
      </c>
      <c r="Y174" s="51">
        <f t="shared" ca="1" si="145"/>
        <v>1505196.2017303519</v>
      </c>
      <c r="Z174" s="165"/>
      <c r="AA174" s="51">
        <f t="shared" ca="1" si="146"/>
        <v>2885128.64</v>
      </c>
      <c r="AC174" s="51">
        <f t="shared" ca="1" si="147"/>
        <v>1379932.4382696482</v>
      </c>
      <c r="AD174" s="93">
        <f t="shared" ca="1" si="148"/>
        <v>0.47829147689915419</v>
      </c>
      <c r="AF174" s="75"/>
    </row>
    <row r="175" spans="2:32" s="70" customFormat="1" outlineLevel="1" x14ac:dyDescent="0.55000000000000004">
      <c r="B175" s="1" t="s">
        <v>22</v>
      </c>
      <c r="C175" s="3">
        <v>12</v>
      </c>
      <c r="E175" s="51">
        <f t="shared" si="149"/>
        <v>-320403.305374761</v>
      </c>
      <c r="F175" s="51">
        <f t="shared" si="150"/>
        <v>-1590.139680403267</v>
      </c>
      <c r="G175" s="51">
        <f>-(E175+F175)*($F$26="time")*IFERROR(IF($F$27="yes",D51/SUM(D51:$D$59),1/COUNT(D51:$D$59)),0)</f>
        <v>0</v>
      </c>
      <c r="H175" s="51">
        <f>-(E175+F175)*($F$26="policies IF")*IFERROR(IF(C175&lt;$F$8,IF($F$27="yes",H51/SUM(H51:$H$59),F51/SUM(F51:$F$59)),IF($F$27="yes",H82/SUM(H82:$H$90),F82/SUM(F82:$F$90))),0)</f>
        <v>0</v>
      </c>
      <c r="I175" s="51">
        <f>-(E175+F175)*($F$26="risk")*IFERROR(IF(C175&lt;$F$8,IF($F$27="yes",R51/SUM(R51:$R$59),Q51/SUM(Q51:$Q$59)),IF($F$27="yes",R82/SUM(R82:$R$90),Q82/SUM(Q82:$Q$90))),0)</f>
        <v>40415.291828317539</v>
      </c>
      <c r="J175" s="51">
        <f t="shared" si="140"/>
        <v>-281578.15322684671</v>
      </c>
      <c r="K175" s="123"/>
      <c r="L175" s="51">
        <f t="shared" ca="1" si="157"/>
        <v>2793421.046196728</v>
      </c>
      <c r="M175" s="51">
        <f t="shared" si="151"/>
        <v>0</v>
      </c>
      <c r="N175" s="51">
        <f t="shared" ca="1" si="152"/>
        <v>13863.557507421792</v>
      </c>
      <c r="O175" s="51">
        <f ca="1">-(L175+M175+N175)*IFERROR(IF(C175&lt;$F$8,IF($F$24="yes",R51/SUM(R51:$R$60),Q51/SUM(Q51:$Q$60)),IF($F$24="yes",R82/SUM(R82:$R$90),Q82/SUM(Q82:$Q$90))),0)</f>
        <v>-352358.80806333915</v>
      </c>
      <c r="P175" s="51">
        <f t="shared" ca="1" si="141"/>
        <v>2454925.7956408109</v>
      </c>
      <c r="Q175" s="123"/>
      <c r="R175" s="51">
        <f t="shared" ca="1" si="142"/>
        <v>1505196.2017303519</v>
      </c>
      <c r="S175" s="51">
        <f t="shared" si="143"/>
        <v>0</v>
      </c>
      <c r="T175" s="51">
        <f t="shared" si="153"/>
        <v>0</v>
      </c>
      <c r="U175" s="51">
        <f t="shared" ca="1" si="144"/>
        <v>7470.1857534340324</v>
      </c>
      <c r="V175" s="51">
        <f t="shared" si="154"/>
        <v>-40415.291828317539</v>
      </c>
      <c r="W175" s="51">
        <f t="shared" ca="1" si="155"/>
        <v>-352358.80806333915</v>
      </c>
      <c r="X175" s="51">
        <f t="shared" ca="1" si="156"/>
        <v>-70045.488153246682</v>
      </c>
      <c r="Y175" s="51">
        <f t="shared" ca="1" si="145"/>
        <v>1049846.7994388824</v>
      </c>
      <c r="Z175" s="165"/>
      <c r="AA175" s="51">
        <f t="shared" ca="1" si="146"/>
        <v>2501600.41</v>
      </c>
      <c r="AC175" s="51">
        <f t="shared" ca="1" si="147"/>
        <v>1451753.6105611178</v>
      </c>
      <c r="AD175" s="93">
        <f t="shared" ca="1" si="148"/>
        <v>0.58032993789008758</v>
      </c>
      <c r="AF175" s="75"/>
    </row>
    <row r="176" spans="2:32" s="70" customFormat="1" outlineLevel="1" x14ac:dyDescent="0.55000000000000004">
      <c r="B176" s="1" t="s">
        <v>23</v>
      </c>
      <c r="C176" s="3">
        <v>13</v>
      </c>
      <c r="E176" s="51">
        <f t="shared" si="149"/>
        <v>-281578.15322684671</v>
      </c>
      <c r="F176" s="51">
        <f t="shared" ref="F176:F183" si="158">IF($F$27="yes",E176*((1+$F$17)^(1/4)-1),0)</f>
        <v>-1397.453106973941</v>
      </c>
      <c r="G176" s="51">
        <f>-(E176+F176)*($F$26="time")*IFERROR(IF($F$27="yes",D52/SUM(D52:$D$59),1/COUNT(D52:$D$59)),0)</f>
        <v>0</v>
      </c>
      <c r="H176" s="51">
        <f>-(E176+F176)*($F$26="policies IF")*IFERROR(IF(C176&lt;$F$8,IF($F$27="yes",H52/SUM(H52:$H$59),F52/SUM(F52:$F$59)),IF($F$27="yes",H83/SUM(H83:$H$90),F83/SUM(F83:$F$90))),0)</f>
        <v>0</v>
      </c>
      <c r="I176" s="51">
        <f>-(E176+F176)*($F$26="risk")*IFERROR(IF(C176&lt;$F$8,IF($F$27="yes",R52/SUM(R52:$R$59),Q52/SUM(Q52:$Q$59)),IF($F$27="yes",R83/SUM(R83:$R$90),Q83/SUM(Q83:$Q$90))),0)</f>
        <v>39364.645653652959</v>
      </c>
      <c r="J176" s="51">
        <f t="shared" ref="J176:J183" si="159">SUM(E176:I176)</f>
        <v>-243610.96068016771</v>
      </c>
      <c r="K176" s="123"/>
      <c r="L176" s="51">
        <f t="shared" ca="1" si="157"/>
        <v>2454925.7956408109</v>
      </c>
      <c r="M176" s="51">
        <f t="shared" si="151"/>
        <v>0</v>
      </c>
      <c r="N176" s="51">
        <f t="shared" ref="N176:N183" ca="1" si="160">IF($F$27="yes",(L176+M176)*((1+$F$17)^(1/4)-1),0)</f>
        <v>12183.628741058292</v>
      </c>
      <c r="O176" s="51">
        <f ca="1">-(L176+M176+N176)*IFERROR(IF(C176&lt;$F$8,IF($F$24="yes",R52/SUM(R52:$R$60),Q52/SUM(Q52:$Q$60)),IF($F$24="yes",R83/SUM(R83:$R$90),Q83/SUM(Q83:$Q$90))),0)</f>
        <v>-343198.79913964443</v>
      </c>
      <c r="P176" s="51">
        <f t="shared" ref="P176:P183" ca="1" si="161">SUM(L176:O176)</f>
        <v>2123910.6252422249</v>
      </c>
      <c r="Q176" s="123"/>
      <c r="R176" s="51">
        <f t="shared" ref="R176:R183" ca="1" si="162">IF(C176=1,0,Y175)</f>
        <v>1049846.7994388824</v>
      </c>
      <c r="S176" s="51">
        <f t="shared" si="143"/>
        <v>0</v>
      </c>
      <c r="T176" s="51">
        <f t="shared" si="153"/>
        <v>0</v>
      </c>
      <c r="U176" s="51">
        <f t="shared" ref="U176:U183" ca="1" si="163">IF($F$27="yes",(R176+S176+T176)*((1+$F$17)^(1/4)-1),0)</f>
        <v>5210.3178279622098</v>
      </c>
      <c r="V176" s="51">
        <f t="shared" ref="V176:V183" si="164">-SUM(G176:I176)</f>
        <v>-39364.645653652959</v>
      </c>
      <c r="W176" s="51">
        <f t="shared" ref="W176:W183" ca="1" si="165">O176</f>
        <v>-343198.79913964443</v>
      </c>
      <c r="X176" s="51">
        <f t="shared" ca="1" si="156"/>
        <v>-59696.496896270117</v>
      </c>
      <c r="Y176" s="51">
        <f t="shared" ref="Y176:Y183" ca="1" si="166">SUM(R176:X176)</f>
        <v>612797.17557727697</v>
      </c>
      <c r="Z176" s="165"/>
      <c r="AA176" s="51">
        <f t="shared" ca="1" si="146"/>
        <v>2135246.44</v>
      </c>
      <c r="AC176" s="51">
        <f t="shared" ca="1" si="147"/>
        <v>1522449.2644227231</v>
      </c>
      <c r="AD176" s="93">
        <f t="shared" ref="AD176:AD183" ca="1" si="167">IFERROR(AC176/ABS(AA176),0)</f>
        <v>0.71300868878756829</v>
      </c>
      <c r="AF176" s="75"/>
    </row>
    <row r="177" spans="2:32" s="70" customFormat="1" outlineLevel="1" x14ac:dyDescent="0.55000000000000004">
      <c r="B177" s="1" t="s">
        <v>24</v>
      </c>
      <c r="C177" s="3">
        <v>14</v>
      </c>
      <c r="E177" s="51">
        <f t="shared" si="149"/>
        <v>-243610.96068016771</v>
      </c>
      <c r="F177" s="51">
        <f t="shared" si="158"/>
        <v>-1209.0245283381191</v>
      </c>
      <c r="G177" s="51">
        <f>-(E177+F177)*($F$26="time")*IFERROR(IF($F$27="yes",D53/SUM(D53:$D$59),1/COUNT(D53:$D$59)),0)</f>
        <v>0</v>
      </c>
      <c r="H177" s="51">
        <f>-(E177+F177)*($F$26="policies IF")*IFERROR(IF(C177&lt;$F$8,IF($F$27="yes",H53/SUM(H53:$H$59),F53/SUM(F53:$F$59)),IF($F$27="yes",H84/SUM(H84:$H$90),F84/SUM(F84:$F$90))),0)</f>
        <v>0</v>
      </c>
      <c r="I177" s="51">
        <f>-(E177+F177)*($F$26="risk")*IFERROR(IF(C177&lt;$F$8,IF($F$27="yes",R53/SUM(R53:$R$59),Q53/SUM(Q53:$Q$59)),IF($F$27="yes",R84/SUM(R84:$R$90),Q84/SUM(Q84:$Q$90))),0)</f>
        <v>38341.31234336226</v>
      </c>
      <c r="J177" s="51">
        <f t="shared" si="159"/>
        <v>-206478.67286514357</v>
      </c>
      <c r="K177" s="123"/>
      <c r="L177" s="51">
        <f t="shared" ca="1" si="157"/>
        <v>2123910.6252422249</v>
      </c>
      <c r="M177" s="51">
        <f t="shared" si="151"/>
        <v>0</v>
      </c>
      <c r="N177" s="51">
        <f t="shared" ca="1" si="160"/>
        <v>10540.823100677708</v>
      </c>
      <c r="O177" s="51">
        <f ca="1">-(L177+M177+N177)*IFERROR(IF(C177&lt;$F$8,IF($F$24="yes",R53/SUM(R53:$R$60),Q53/SUM(Q53:$Q$60)),IF($F$24="yes",R84/SUM(R84:$R$90),Q84/SUM(Q84:$Q$90))),0)</f>
        <v>-334276.91613067657</v>
      </c>
      <c r="P177" s="51">
        <f t="shared" ca="1" si="161"/>
        <v>1800174.532212226</v>
      </c>
      <c r="Q177" s="123"/>
      <c r="R177" s="51">
        <f t="shared" ca="1" si="162"/>
        <v>612797.17557727697</v>
      </c>
      <c r="S177" s="51">
        <f t="shared" si="143"/>
        <v>0</v>
      </c>
      <c r="T177" s="51">
        <f t="shared" si="153"/>
        <v>0</v>
      </c>
      <c r="U177" s="51">
        <f t="shared" ca="1" si="163"/>
        <v>3041.2704506425935</v>
      </c>
      <c r="V177" s="51">
        <f t="shared" si="164"/>
        <v>-38341.31234336226</v>
      </c>
      <c r="W177" s="51">
        <f t="shared" ca="1" si="165"/>
        <v>-334276.91613067657</v>
      </c>
      <c r="X177" s="51">
        <f t="shared" ca="1" si="156"/>
        <v>-49838.23853608514</v>
      </c>
      <c r="Y177" s="51">
        <f t="shared" ca="1" si="166"/>
        <v>193381.97901779556</v>
      </c>
      <c r="Z177" s="165"/>
      <c r="AA177" s="51">
        <f t="shared" ca="1" si="146"/>
        <v>1785420.01</v>
      </c>
      <c r="AC177" s="51">
        <f t="shared" ca="1" si="147"/>
        <v>1592038.0309822045</v>
      </c>
      <c r="AD177" s="93">
        <f t="shared" ca="1" si="167"/>
        <v>0.8916882425789574</v>
      </c>
      <c r="AF177" s="75"/>
    </row>
    <row r="178" spans="2:32" s="70" customFormat="1" outlineLevel="1" x14ac:dyDescent="0.55000000000000004">
      <c r="B178" s="1" t="s">
        <v>25</v>
      </c>
      <c r="C178" s="3">
        <v>15</v>
      </c>
      <c r="E178" s="51">
        <f t="shared" si="149"/>
        <v>-206478.67286514357</v>
      </c>
      <c r="F178" s="51">
        <f t="shared" si="158"/>
        <v>-1024.7395247556442</v>
      </c>
      <c r="G178" s="51">
        <f>-(E178+F178)*($F$26="time")*IFERROR(IF($F$27="yes",D54/SUM(D54:$D$59),1/COUNT(D54:$D$59)),0)</f>
        <v>0</v>
      </c>
      <c r="H178" s="51">
        <f>-(E178+F178)*($F$26="policies IF")*IFERROR(IF(C178&lt;$F$8,IF($F$27="yes",H54/SUM(H54:$H$59),F54/SUM(F54:$F$59)),IF($F$27="yes",H85/SUM(H85:$H$90),F85/SUM(F85:$F$90))),0)</f>
        <v>0</v>
      </c>
      <c r="I178" s="51">
        <f>-(E178+F178)*($F$26="risk")*IFERROR(IF(C178&lt;$F$8,IF($F$27="yes",R54/SUM(R54:$R$59),Q54/SUM(Q54:$Q$59)),IF($F$27="yes",R85/SUM(R85:$R$90),Q85/SUM(Q85:$Q$90))),0)</f>
        <v>37344.58186529731</v>
      </c>
      <c r="J178" s="51">
        <f t="shared" si="159"/>
        <v>-170158.83052460192</v>
      </c>
      <c r="K178" s="123"/>
      <c r="L178" s="51">
        <f t="shared" ca="1" si="157"/>
        <v>1800174.532212226</v>
      </c>
      <c r="M178" s="51">
        <f t="shared" si="151"/>
        <v>0</v>
      </c>
      <c r="N178" s="51">
        <f t="shared" ca="1" si="160"/>
        <v>8934.1430231934755</v>
      </c>
      <c r="O178" s="51">
        <f ca="1">-(L178+M178+N178)*IFERROR(IF(C178&lt;$F$8,IF($F$24="yes",R54/SUM(R54:$R$60),Q54/SUM(Q54:$Q$60)),IF($F$24="yes",R85/SUM(R85:$R$90),Q85/SUM(Q85:$Q$90))),0)</f>
        <v>-325586.96865477366</v>
      </c>
      <c r="P178" s="51">
        <f t="shared" ca="1" si="161"/>
        <v>1483521.7065806459</v>
      </c>
      <c r="Q178" s="123"/>
      <c r="R178" s="51">
        <f t="shared" ca="1" si="162"/>
        <v>193381.97901779556</v>
      </c>
      <c r="S178" s="51">
        <f t="shared" si="143"/>
        <v>0</v>
      </c>
      <c r="T178" s="51">
        <f t="shared" si="153"/>
        <v>0</v>
      </c>
      <c r="U178" s="51">
        <f t="shared" ca="1" si="163"/>
        <v>959.7415293560565</v>
      </c>
      <c r="V178" s="51">
        <f t="shared" si="164"/>
        <v>-37344.58186529731</v>
      </c>
      <c r="W178" s="51">
        <f t="shared" ca="1" si="165"/>
        <v>-325586.96865477366</v>
      </c>
      <c r="X178" s="51">
        <f t="shared" ca="1" si="156"/>
        <v>-40452.19254115384</v>
      </c>
      <c r="Y178" s="51">
        <f t="shared" ca="1" si="166"/>
        <v>-209042.02251407321</v>
      </c>
      <c r="Z178" s="165"/>
      <c r="AA178" s="51">
        <f t="shared" ca="1" si="146"/>
        <v>1451496.32</v>
      </c>
      <c r="AC178" s="51">
        <f t="shared" ca="1" si="147"/>
        <v>1660538.3425140732</v>
      </c>
      <c r="AD178" s="93">
        <f t="shared" ca="1" si="167"/>
        <v>1.1440182931459815</v>
      </c>
      <c r="AF178" s="75"/>
    </row>
    <row r="179" spans="2:32" s="70" customFormat="1" outlineLevel="1" x14ac:dyDescent="0.55000000000000004">
      <c r="B179" s="1" t="s">
        <v>26</v>
      </c>
      <c r="C179" s="3">
        <v>16</v>
      </c>
      <c r="E179" s="51">
        <f t="shared" si="149"/>
        <v>-170158.83052460192</v>
      </c>
      <c r="F179" s="51">
        <f t="shared" si="158"/>
        <v>-844.48663246998501</v>
      </c>
      <c r="G179" s="51">
        <f>-(E179+F179)*($F$26="time")*IFERROR(IF($F$27="yes",D55/SUM(D55:$D$59),1/COUNT(D55:$D$59)),0)</f>
        <v>0</v>
      </c>
      <c r="H179" s="51">
        <f>-(E179+F179)*($F$26="policies IF")*IFERROR(IF(C179&lt;$F$8,IF($F$27="yes",H55/SUM(H55:$H$59),F55/SUM(F55:$F$59)),IF($F$27="yes",H86/SUM(H86:$H$90),F86/SUM(F86:$F$90))),0)</f>
        <v>0</v>
      </c>
      <c r="I179" s="51">
        <f>-(E179+F179)*($F$26="risk")*IFERROR(IF(C179&lt;$F$8,IF($F$27="yes",R55/SUM(R55:$R$59),Q55/SUM(Q55:$Q$59)),IF($F$27="yes",R86/SUM(R86:$R$90),Q86/SUM(Q86:$Q$90))),0)</f>
        <v>36373.762645485782</v>
      </c>
      <c r="J179" s="51">
        <f t="shared" si="159"/>
        <v>-134629.55451158612</v>
      </c>
      <c r="K179" s="123"/>
      <c r="L179" s="51">
        <f t="shared" ca="1" si="157"/>
        <v>1483521.7065806459</v>
      </c>
      <c r="M179" s="51">
        <f t="shared" si="151"/>
        <v>0</v>
      </c>
      <c r="N179" s="51">
        <f t="shared" ca="1" si="160"/>
        <v>7362.6167171223033</v>
      </c>
      <c r="O179" s="51">
        <f ca="1">-(L179+M179+N179)*IFERROR(IF(C179&lt;$F$8,IF($F$24="yes",R55/SUM(R55:$R$60),Q55/SUM(Q55:$Q$60)),IF($F$24="yes",R86/SUM(R86:$R$90),Q86/SUM(Q86:$Q$90))),0)</f>
        <v>-317122.92725700524</v>
      </c>
      <c r="P179" s="51">
        <f t="shared" ca="1" si="161"/>
        <v>1173761.3960407628</v>
      </c>
      <c r="Q179" s="123"/>
      <c r="R179" s="51">
        <f t="shared" ca="1" si="162"/>
        <v>-209042.02251407321</v>
      </c>
      <c r="S179" s="51">
        <f t="shared" si="143"/>
        <v>0</v>
      </c>
      <c r="T179" s="51">
        <f t="shared" si="153"/>
        <v>0</v>
      </c>
      <c r="U179" s="51">
        <f t="shared" ca="1" si="163"/>
        <v>-1037.4612536614779</v>
      </c>
      <c r="V179" s="51">
        <f t="shared" si="164"/>
        <v>-36373.762645485782</v>
      </c>
      <c r="W179" s="51">
        <f t="shared" ca="1" si="165"/>
        <v>-317122.92725700524</v>
      </c>
      <c r="X179" s="51">
        <f t="shared" ca="1" si="156"/>
        <v>-31520.469668960985</v>
      </c>
      <c r="Y179" s="51">
        <f t="shared" ca="1" si="166"/>
        <v>-595096.64333918679</v>
      </c>
      <c r="Z179" s="165"/>
      <c r="AA179" s="51">
        <f t="shared" ca="1" si="146"/>
        <v>1132871.81</v>
      </c>
      <c r="AC179" s="51">
        <f t="shared" ca="1" si="147"/>
        <v>1727968.453339187</v>
      </c>
      <c r="AD179" s="93">
        <f t="shared" ca="1" si="167"/>
        <v>1.5252991892694256</v>
      </c>
      <c r="AF179" s="75"/>
    </row>
    <row r="180" spans="2:32" s="70" customFormat="1" outlineLevel="1" x14ac:dyDescent="0.55000000000000004">
      <c r="B180" s="1" t="s">
        <v>27</v>
      </c>
      <c r="C180" s="3">
        <v>17</v>
      </c>
      <c r="E180" s="51">
        <f t="shared" si="149"/>
        <v>-134629.55451158612</v>
      </c>
      <c r="F180" s="51">
        <f t="shared" si="158"/>
        <v>-668.15726677191572</v>
      </c>
      <c r="G180" s="51">
        <f>-(E180+F180)*($F$26="time")*IFERROR(IF($F$27="yes",D56/SUM(D56:$D$59),1/COUNT(D56:$D$59)),0)</f>
        <v>0</v>
      </c>
      <c r="H180" s="51">
        <f>-(E180+F180)*($F$26="policies IF")*IFERROR(IF(C180&lt;$F$8,IF($F$27="yes",H56/SUM(H56:$H$59),F56/SUM(F56:$F$59)),IF($F$27="yes",H87/SUM(H87:$H$90),F87/SUM(F87:$F$90))),0)</f>
        <v>0</v>
      </c>
      <c r="I180" s="51">
        <f>-(E180+F180)*($F$26="risk")*IFERROR(IF(C180&lt;$F$8,IF($F$27="yes",R56/SUM(R56:$R$59),Q56/SUM(Q56:$Q$59)),IF($F$27="yes",R87/SUM(R87:$R$90),Q87/SUM(Q87:$Q$90))),0)</f>
        <v>35428.181088287667</v>
      </c>
      <c r="J180" s="51">
        <f t="shared" si="159"/>
        <v>-99869.530690070358</v>
      </c>
      <c r="K180" s="123"/>
      <c r="L180" s="51">
        <f t="shared" ca="1" si="157"/>
        <v>1173761.3960407628</v>
      </c>
      <c r="M180" s="51">
        <f t="shared" si="151"/>
        <v>0</v>
      </c>
      <c r="N180" s="51">
        <f t="shared" ca="1" si="160"/>
        <v>5825.2974918184964</v>
      </c>
      <c r="O180" s="51">
        <f ca="1">-(L180+M180+N180)*IFERROR(IF(C180&lt;$F$8,IF($F$24="yes",R56/SUM(R56:$R$60),Q56/SUM(Q56:$Q$60)),IF($F$24="yes",R87/SUM(R87:$R$90),Q87/SUM(Q87:$Q$90))),0)</f>
        <v>-308878.91922567994</v>
      </c>
      <c r="P180" s="51">
        <f t="shared" ca="1" si="161"/>
        <v>870707.77430690126</v>
      </c>
      <c r="Q180" s="123"/>
      <c r="R180" s="51">
        <f t="shared" ca="1" si="162"/>
        <v>-595096.64333918679</v>
      </c>
      <c r="S180" s="51">
        <f t="shared" si="143"/>
        <v>0</v>
      </c>
      <c r="T180" s="51">
        <f t="shared" si="153"/>
        <v>0</v>
      </c>
      <c r="U180" s="51">
        <f t="shared" ca="1" si="163"/>
        <v>-2953.4239203356638</v>
      </c>
      <c r="V180" s="51">
        <f t="shared" si="164"/>
        <v>-35428.181088287667</v>
      </c>
      <c r="W180" s="51">
        <f t="shared" ca="1" si="165"/>
        <v>-308878.91922567994</v>
      </c>
      <c r="X180" s="51">
        <f t="shared" ca="1" si="156"/>
        <v>-23025.791659989874</v>
      </c>
      <c r="Y180" s="51">
        <f t="shared" ca="1" si="166"/>
        <v>-965382.95923347992</v>
      </c>
      <c r="Z180" s="165"/>
      <c r="AA180" s="51">
        <f t="shared" ca="1" si="146"/>
        <v>828963.48</v>
      </c>
      <c r="AC180" s="51">
        <f t="shared" ca="1" si="147"/>
        <v>1794346.43923348</v>
      </c>
      <c r="AD180" s="93">
        <f t="shared" ca="1" si="167"/>
        <v>2.1645663319613067</v>
      </c>
      <c r="AF180" s="75"/>
    </row>
    <row r="181" spans="2:32" s="70" customFormat="1" outlineLevel="1" x14ac:dyDescent="0.55000000000000004">
      <c r="B181" s="1" t="s">
        <v>28</v>
      </c>
      <c r="C181" s="3">
        <v>18</v>
      </c>
      <c r="E181" s="51">
        <f t="shared" si="149"/>
        <v>-99869.530690070358</v>
      </c>
      <c r="F181" s="51">
        <f t="shared" si="158"/>
        <v>-495.64564706279822</v>
      </c>
      <c r="G181" s="51">
        <f>-(E181+F181)*($F$26="time")*IFERROR(IF($F$27="yes",D57/SUM(D57:$D$59),1/COUNT(D57:$D$59)),0)</f>
        <v>0</v>
      </c>
      <c r="H181" s="51">
        <f>-(E181+F181)*($F$26="policies IF")*IFERROR(IF(C181&lt;$F$8,IF($F$27="yes",H57/SUM(H57:$H$59),F57/SUM(F57:$F$59)),IF($F$27="yes",H88/SUM(H88:$H$90),F88/SUM(F88:$F$90))),0)</f>
        <v>0</v>
      </c>
      <c r="I181" s="51">
        <f>-(E181+F181)*($F$26="risk")*IFERROR(IF(C181&lt;$F$8,IF($F$27="yes",R57/SUM(R57:$R$59),Q57/SUM(Q57:$Q$59)),IF($F$27="yes",R88/SUM(R88:$R$90),Q88/SUM(Q88:$Q$90))),0)</f>
        <v>34507.181109026023</v>
      </c>
      <c r="J181" s="51">
        <f t="shared" si="159"/>
        <v>-65857.995228107146</v>
      </c>
      <c r="K181" s="123"/>
      <c r="L181" s="51">
        <f t="shared" ca="1" si="157"/>
        <v>870707.77430690126</v>
      </c>
      <c r="M181" s="51">
        <f t="shared" si="151"/>
        <v>0</v>
      </c>
      <c r="N181" s="51">
        <f t="shared" ca="1" si="160"/>
        <v>4321.2631041417471</v>
      </c>
      <c r="O181" s="51">
        <f ca="1">-(L181+M181+N181)*IFERROR(IF(C181&lt;$F$8,IF($F$24="yes",R57/SUM(R57:$R$60),Q57/SUM(Q57:$Q$60)),IF($F$24="yes",R88/SUM(R88:$R$90),Q88/SUM(Q88:$Q$90))),0)</f>
        <v>-300849.22451760876</v>
      </c>
      <c r="P181" s="51">
        <f t="shared" ca="1" si="161"/>
        <v>574179.81289343419</v>
      </c>
      <c r="Q181" s="123"/>
      <c r="R181" s="51">
        <f t="shared" ca="1" si="162"/>
        <v>-965382.95923347992</v>
      </c>
      <c r="S181" s="51">
        <f t="shared" si="143"/>
        <v>0</v>
      </c>
      <c r="T181" s="51">
        <f t="shared" si="153"/>
        <v>0</v>
      </c>
      <c r="U181" s="51">
        <f t="shared" ca="1" si="163"/>
        <v>-4791.1295686127751</v>
      </c>
      <c r="V181" s="51">
        <f t="shared" si="164"/>
        <v>-34507.181109026023</v>
      </c>
      <c r="W181" s="51">
        <f t="shared" ca="1" si="165"/>
        <v>-300849.22451760876</v>
      </c>
      <c r="X181" s="51">
        <f t="shared" ca="1" si="156"/>
        <v>-14951.471560825616</v>
      </c>
      <c r="Y181" s="51">
        <f t="shared" ca="1" si="166"/>
        <v>-1320481.9659895531</v>
      </c>
      <c r="Z181" s="165"/>
      <c r="AA181" s="51">
        <f t="shared" ca="1" si="146"/>
        <v>539208.19999999995</v>
      </c>
      <c r="AC181" s="51">
        <f t="shared" ca="1" si="147"/>
        <v>1859690.1659895531</v>
      </c>
      <c r="AD181" s="93">
        <f t="shared" ca="1" si="167"/>
        <v>3.4489278278586144</v>
      </c>
      <c r="AF181" s="75"/>
    </row>
    <row r="182" spans="2:32" s="70" customFormat="1" outlineLevel="1" x14ac:dyDescent="0.55000000000000004">
      <c r="B182" s="1" t="s">
        <v>29</v>
      </c>
      <c r="C182" s="3">
        <v>19</v>
      </c>
      <c r="E182" s="51">
        <f t="shared" si="149"/>
        <v>-65857.995228107146</v>
      </c>
      <c r="F182" s="51">
        <f t="shared" si="158"/>
        <v>-326.84872386547954</v>
      </c>
      <c r="G182" s="51">
        <f>-(E182+F182)*($F$26="time")*IFERROR(IF($F$27="yes",D58/SUM(D58:$D$59),1/COUNT(D58:$D$59)),0)</f>
        <v>0</v>
      </c>
      <c r="H182" s="51">
        <f>-(E182+F182)*($F$26="policies IF")*IFERROR(IF(C182&lt;$F$8,IF($F$27="yes",H58/SUM(H58:$H$59),F58/SUM(F58:$F$59)),IF($F$27="yes",H89/SUM(H89:$H$90),F89/SUM(F89:$F$90))),0)</f>
        <v>0</v>
      </c>
      <c r="I182" s="51">
        <f>-(E182+F182)*($F$26="risk")*IFERROR(IF(C182&lt;$F$8,IF($F$27="yes",R58/SUM(R58:$R$59),Q58/SUM(Q58:$Q$59)),IF($F$27="yes",R89/SUM(R89:$R$90),Q89/SUM(Q89:$Q$90))),0)</f>
        <v>33610.123678767581</v>
      </c>
      <c r="J182" s="51">
        <f t="shared" si="159"/>
        <v>-32574.720273205043</v>
      </c>
      <c r="K182" s="123"/>
      <c r="L182" s="51">
        <f t="shared" ca="1" si="157"/>
        <v>574179.81289343419</v>
      </c>
      <c r="M182" s="51">
        <f t="shared" si="151"/>
        <v>0</v>
      </c>
      <c r="N182" s="51">
        <f t="shared" ca="1" si="160"/>
        <v>2849.6151221050873</v>
      </c>
      <c r="O182" s="51">
        <f ca="1">-(L182+M182+N182)*IFERROR(IF(C182&lt;$F$8,IF($F$24="yes",R58/SUM(R58:$R$60),Q58/SUM(Q58:$Q$60)),IF($F$24="yes",R89/SUM(R89:$R$90),Q89/SUM(Q89:$Q$90))),0)</f>
        <v>-293028.27178929624</v>
      </c>
      <c r="P182" s="51">
        <f t="shared" ca="1" si="161"/>
        <v>284001.15622624307</v>
      </c>
      <c r="Q182" s="123"/>
      <c r="R182" s="51">
        <f t="shared" ca="1" si="162"/>
        <v>-1320481.9659895531</v>
      </c>
      <c r="S182" s="51">
        <f t="shared" si="143"/>
        <v>0</v>
      </c>
      <c r="T182" s="51">
        <f t="shared" si="153"/>
        <v>0</v>
      </c>
      <c r="U182" s="51">
        <f t="shared" ca="1" si="163"/>
        <v>-6553.4616408558077</v>
      </c>
      <c r="V182" s="51">
        <f t="shared" si="164"/>
        <v>-33610.123678767581</v>
      </c>
      <c r="W182" s="51">
        <f t="shared" ca="1" si="165"/>
        <v>-293028.27178929624</v>
      </c>
      <c r="X182" s="51">
        <f t="shared" ca="1" si="156"/>
        <v>-7281.3946574076908</v>
      </c>
      <c r="Y182" s="51">
        <f t="shared" ca="1" si="166"/>
        <v>-1660955.2177558804</v>
      </c>
      <c r="Z182" s="165"/>
      <c r="AA182" s="51">
        <f t="shared" ca="1" si="146"/>
        <v>263062.12</v>
      </c>
      <c r="AC182" s="51">
        <f t="shared" ca="1" si="147"/>
        <v>1924017.3377558803</v>
      </c>
      <c r="AD182" s="93">
        <f t="shared" ca="1" si="167"/>
        <v>7.3139277435910586</v>
      </c>
      <c r="AF182" s="75"/>
    </row>
    <row r="183" spans="2:32" s="70" customFormat="1" outlineLevel="1" x14ac:dyDescent="0.55000000000000004">
      <c r="B183" s="1" t="s">
        <v>30</v>
      </c>
      <c r="C183" s="3">
        <v>20</v>
      </c>
      <c r="E183" s="51">
        <f t="shared" si="149"/>
        <v>-32574.720273205043</v>
      </c>
      <c r="F183" s="51">
        <f t="shared" si="158"/>
        <v>-161.66610773217192</v>
      </c>
      <c r="G183" s="51">
        <f>-(E183+F183)*($F$26="time")*IFERROR(IF($F$27="yes",D59/SUM(D59:$D$59),1/COUNT(D59:$D$59)),0)</f>
        <v>0</v>
      </c>
      <c r="H183" s="51">
        <f>-(E183+F183)*($F$26="policies IF")*IFERROR(IF(C183&lt;$F$8,IF($F$27="yes",H59/SUM(H59:$H$59),F59/SUM(F59:$F$59)),IF($F$27="yes",H90/SUM(H90:$H$90),F90/SUM(F90:$F$90))),0)</f>
        <v>0</v>
      </c>
      <c r="I183" s="51">
        <f>-(E183+F183)*($F$26="risk")*IFERROR(IF(C183&lt;$F$8,IF($F$27="yes",R59/SUM(R59:$R$59),Q59/SUM(Q59:$Q$59)),IF($F$27="yes",R90/SUM(R90:$R$90),Q90/SUM(Q90:$Q$90))),0)</f>
        <v>32736.386380937216</v>
      </c>
      <c r="J183" s="51">
        <f t="shared" si="159"/>
        <v>0</v>
      </c>
      <c r="K183" s="123"/>
      <c r="L183" s="51">
        <f t="shared" ca="1" si="157"/>
        <v>284001.15622624307</v>
      </c>
      <c r="M183" s="51">
        <f t="shared" si="151"/>
        <v>0</v>
      </c>
      <c r="N183" s="51">
        <f t="shared" ca="1" si="160"/>
        <v>1409.4783050616129</v>
      </c>
      <c r="O183" s="51">
        <f ca="1">-(L183+M183+N183)*IFERROR(IF(C183&lt;$F$8,IF($F$24="yes",R59/SUM(R59:$R$60),Q59/SUM(Q59:$Q$60)),IF($F$24="yes",R90/SUM(R90:$R$90),Q90/SUM(Q90:$Q$90))),0)</f>
        <v>-285410.63453130471</v>
      </c>
      <c r="P183" s="51">
        <f t="shared" ca="1" si="161"/>
        <v>0</v>
      </c>
      <c r="Q183" s="123"/>
      <c r="R183" s="51">
        <f t="shared" ca="1" si="162"/>
        <v>-1660955.2177558804</v>
      </c>
      <c r="S183" s="51">
        <f t="shared" si="143"/>
        <v>0</v>
      </c>
      <c r="T183" s="51">
        <f t="shared" si="153"/>
        <v>0</v>
      </c>
      <c r="U183" s="51">
        <f t="shared" ca="1" si="163"/>
        <v>-8243.2070918782883</v>
      </c>
      <c r="V183" s="51">
        <f t="shared" si="164"/>
        <v>-32736.386380937216</v>
      </c>
      <c r="W183" s="51">
        <f t="shared" ca="1" si="165"/>
        <v>-285410.63453130471</v>
      </c>
      <c r="X183" s="51">
        <f t="shared" ca="1" si="156"/>
        <v>0</v>
      </c>
      <c r="Y183" s="51">
        <f t="shared" ca="1" si="166"/>
        <v>-1987345.4457600007</v>
      </c>
      <c r="Z183" s="165"/>
      <c r="AA183" s="51">
        <f t="shared" ca="1" si="146"/>
        <v>0</v>
      </c>
      <c r="AC183" s="51">
        <f t="shared" ca="1" si="147"/>
        <v>1987345.4457600007</v>
      </c>
      <c r="AD183" s="93">
        <f t="shared" ca="1" si="167"/>
        <v>0</v>
      </c>
      <c r="AF183" s="75"/>
    </row>
    <row r="184" spans="2:32" s="70" customFormat="1" outlineLevel="1" x14ac:dyDescent="0.55000000000000004">
      <c r="B184" s="120"/>
      <c r="C184" s="71"/>
      <c r="E184" s="71"/>
      <c r="F184" s="71"/>
      <c r="G184" s="71"/>
      <c r="H184" s="71"/>
      <c r="I184" s="71"/>
      <c r="J184" s="71"/>
      <c r="L184" s="77"/>
      <c r="M184" s="77"/>
      <c r="N184" s="77"/>
      <c r="O184" s="77"/>
      <c r="P184" s="77"/>
      <c r="Q184" s="55"/>
      <c r="R184" s="67"/>
      <c r="S184" s="67"/>
      <c r="T184" s="67"/>
      <c r="U184" s="67"/>
      <c r="V184" s="67"/>
      <c r="W184" s="67"/>
      <c r="X184" s="67"/>
      <c r="Y184" s="67"/>
      <c r="Z184" s="165"/>
      <c r="AA184" s="121"/>
      <c r="AC184" s="67"/>
      <c r="AD184" s="69"/>
      <c r="AF184" s="75"/>
    </row>
    <row r="185" spans="2:32" s="70" customFormat="1" outlineLevel="1" x14ac:dyDescent="0.55000000000000004">
      <c r="B185" s="51"/>
      <c r="C185" s="51"/>
      <c r="I185" s="51"/>
      <c r="L185" s="51"/>
      <c r="M185" s="51"/>
      <c r="N185" s="51"/>
      <c r="O185" s="51"/>
      <c r="Q185" s="51"/>
      <c r="R185" s="51"/>
      <c r="S185" s="51"/>
      <c r="T185" s="51"/>
      <c r="U185" s="51"/>
      <c r="V185" s="51"/>
      <c r="W185" s="51"/>
      <c r="X185" s="51"/>
      <c r="Y185" s="51"/>
      <c r="Z185" s="51"/>
      <c r="AA185" s="55"/>
      <c r="AC185" s="51"/>
      <c r="AD185" s="55"/>
      <c r="AF185" s="75"/>
    </row>
    <row r="186" spans="2:32" s="70" customFormat="1" outlineLevel="1" x14ac:dyDescent="0.55000000000000004">
      <c r="B186" s="52"/>
      <c r="C186" s="52"/>
      <c r="F186" s="52">
        <f t="shared" ref="F186:O186" si="168">SUM(F164:F183)</f>
        <v>-40546.00290095387</v>
      </c>
      <c r="G186" s="52">
        <f t="shared" si="168"/>
        <v>0</v>
      </c>
      <c r="H186" s="52">
        <f t="shared" si="168"/>
        <v>0</v>
      </c>
      <c r="I186" s="52">
        <f t="shared" si="168"/>
        <v>940546.0029009541</v>
      </c>
      <c r="J186" s="52"/>
      <c r="K186" s="52"/>
      <c r="L186" s="52"/>
      <c r="M186" s="52">
        <f t="shared" ca="1" si="168"/>
        <v>1266023.4792168476</v>
      </c>
      <c r="N186" s="52">
        <f t="shared" ca="1" si="168"/>
        <v>300760.61299369519</v>
      </c>
      <c r="O186" s="52">
        <f t="shared" ca="1" si="168"/>
        <v>-7240936.0140634477</v>
      </c>
      <c r="P186" s="52"/>
      <c r="Q186" s="52"/>
      <c r="R186" s="52"/>
      <c r="S186" s="52">
        <f t="shared" ref="S186:X186" si="169">SUM(S164:S183)</f>
        <v>9000000</v>
      </c>
      <c r="T186" s="52">
        <f t="shared" si="169"/>
        <v>-900000</v>
      </c>
      <c r="U186" s="52">
        <f t="shared" ca="1" si="169"/>
        <v>238958.59013211221</v>
      </c>
      <c r="V186" s="52">
        <f t="shared" si="169"/>
        <v>-940546.0029009541</v>
      </c>
      <c r="W186" s="52">
        <f t="shared" ca="1" si="169"/>
        <v>-7240936.0140634477</v>
      </c>
      <c r="X186" s="52">
        <f t="shared" ca="1" si="169"/>
        <v>-2144822.0189277129</v>
      </c>
      <c r="Y186" s="52"/>
      <c r="Z186" s="52"/>
      <c r="AB186" s="122" t="s">
        <v>148</v>
      </c>
      <c r="AC186" s="52">
        <f ca="1">AVERAGE(AC164:AC183)</f>
        <v>1637323.834817003</v>
      </c>
      <c r="AD186" s="74">
        <f ca="1">AVERAGE(AD164:AD183)</f>
        <v>1.0582644052671979</v>
      </c>
      <c r="AF186" s="75"/>
    </row>
    <row r="187" spans="2:32" s="70" customFormat="1" x14ac:dyDescent="0.55000000000000004">
      <c r="B187" s="51"/>
      <c r="C187" s="51"/>
      <c r="D187" s="51"/>
      <c r="E187" s="51"/>
      <c r="F187" s="51"/>
      <c r="G187" s="51"/>
      <c r="H187" s="51"/>
      <c r="I187" s="51"/>
      <c r="J187" s="51"/>
      <c r="K187" s="51"/>
      <c r="L187" s="51"/>
      <c r="M187" s="52"/>
      <c r="N187" s="52"/>
      <c r="O187" s="52"/>
      <c r="P187" s="52"/>
      <c r="Q187" s="52"/>
      <c r="R187" s="52"/>
      <c r="S187" s="52"/>
      <c r="T187" s="52"/>
      <c r="U187" s="52"/>
      <c r="V187" s="51"/>
      <c r="AF187" s="75"/>
    </row>
    <row r="188" spans="2:32" s="70" customFormat="1" x14ac:dyDescent="0.55000000000000004">
      <c r="B188" s="51"/>
      <c r="C188" s="51"/>
      <c r="D188" s="51"/>
      <c r="E188" s="51"/>
      <c r="F188" s="51"/>
      <c r="G188" s="51"/>
      <c r="H188" s="51"/>
      <c r="I188" s="51"/>
      <c r="J188" s="51"/>
      <c r="K188" s="51"/>
      <c r="L188" s="51"/>
      <c r="M188" s="52"/>
      <c r="N188" s="52"/>
      <c r="O188" s="52"/>
      <c r="P188" s="52"/>
      <c r="Q188" s="52"/>
      <c r="R188" s="52"/>
      <c r="S188" s="52"/>
      <c r="T188" s="52"/>
      <c r="U188" s="52"/>
      <c r="V188" s="51"/>
      <c r="AF188" s="75"/>
    </row>
    <row r="189" spans="2:32" x14ac:dyDescent="0.55000000000000004">
      <c r="D189" s="55"/>
    </row>
    <row r="190" spans="2:32" x14ac:dyDescent="0.55000000000000004">
      <c r="D190" s="51"/>
    </row>
    <row r="191" spans="2:32" x14ac:dyDescent="0.55000000000000004">
      <c r="D191" s="51"/>
    </row>
    <row r="192" spans="2:32" x14ac:dyDescent="0.55000000000000004">
      <c r="D192" s="51"/>
      <c r="E192" s="55"/>
      <c r="F192" s="55"/>
      <c r="G192" s="55"/>
      <c r="H192" s="70"/>
      <c r="I192" s="70"/>
      <c r="J192" s="70"/>
      <c r="K192" s="70"/>
    </row>
  </sheetData>
  <sheetProtection algorithmName="SHA-512" hashValue="kKPmzDw+Q5xk4WKfUUQj9/wqdy/m72pWAOxXRXdwbIXTcEuza6TFNZ6pYAOeSQCYwAjeNY9cj9l1YRrsA1YfVg==" saltValue="BrslAcuUh0rJBrr7S3WZCw==" spinCount="100000" sheet="1" objects="1" scenarios="1"/>
  <protectedRanges>
    <protectedRange sqref="J71:J90 O71:O90 T71:T90" name="Range8"/>
    <protectedRange sqref="F21:F29" name="Range6"/>
    <protectedRange sqref="G11:G12" name="Range3"/>
    <protectedRange sqref="F8" name="Range1"/>
    <protectedRange sqref="F11:F14" name="Range2"/>
    <protectedRange sqref="G14" name="Range4"/>
    <protectedRange sqref="F17:G19" name="Range5"/>
    <protectedRange sqref="J40:J59 O40:O59 T40:T59" name="Range7"/>
  </protectedRanges>
  <mergeCells count="39">
    <mergeCell ref="T98:U98"/>
    <mergeCell ref="AK36:AL36"/>
    <mergeCell ref="AN36:AO36"/>
    <mergeCell ref="AD67:AI67"/>
    <mergeCell ref="AK67:AL67"/>
    <mergeCell ref="AN67:AO67"/>
    <mergeCell ref="AD36:AI36"/>
    <mergeCell ref="B36:D36"/>
    <mergeCell ref="F36:H36"/>
    <mergeCell ref="J36:M36"/>
    <mergeCell ref="O36:R36"/>
    <mergeCell ref="W36:AB36"/>
    <mergeCell ref="T36:U36"/>
    <mergeCell ref="AQ67:AS67"/>
    <mergeCell ref="B98:D98"/>
    <mergeCell ref="F98:H98"/>
    <mergeCell ref="J98:M98"/>
    <mergeCell ref="O98:R98"/>
    <mergeCell ref="W98:AB98"/>
    <mergeCell ref="AD98:AI98"/>
    <mergeCell ref="AK98:AL98"/>
    <mergeCell ref="AN98:AO98"/>
    <mergeCell ref="AQ98:AS98"/>
    <mergeCell ref="B67:D67"/>
    <mergeCell ref="F67:H67"/>
    <mergeCell ref="J67:M67"/>
    <mergeCell ref="O67:R67"/>
    <mergeCell ref="W67:AB67"/>
    <mergeCell ref="T67:U67"/>
    <mergeCell ref="AE129:AK129"/>
    <mergeCell ref="B160:C160"/>
    <mergeCell ref="E160:J160"/>
    <mergeCell ref="L160:P160"/>
    <mergeCell ref="AC160:AD160"/>
    <mergeCell ref="B129:C129"/>
    <mergeCell ref="E129:M129"/>
    <mergeCell ref="O129:U129"/>
    <mergeCell ref="R160:Y160"/>
    <mergeCell ref="W129:AC129"/>
  </mergeCells>
  <dataValidations count="15">
    <dataValidation type="list" allowBlank="1" showInputMessage="1" showErrorMessage="1" sqref="F22" xr:uid="{77A82DAC-5308-4150-A399-5D8A0FB1036F}">
      <formula1>"single,annual,semi-ann,quarterly,pattern"</formula1>
    </dataValidation>
    <dataValidation type="decimal" operator="greaterThanOrEqual" allowBlank="1" showInputMessage="1" showErrorMessage="1" error="Expense ratio cannot be negative" sqref="F12:G12" xr:uid="{81BBC662-E267-4C62-BA69-5C5C86EABB24}">
      <formula1>0</formula1>
    </dataValidation>
    <dataValidation type="decimal" operator="greaterThanOrEqual" allowBlank="1" showInputMessage="1" showErrorMessage="1" error="Acquisition cost ratio cannot be negative" sqref="G13" xr:uid="{B277A696-B011-464E-BAC6-3C00B2826307}">
      <formula1>0</formula1>
    </dataValidation>
    <dataValidation type="decimal" operator="greaterThanOrEqual" allowBlank="1" showInputMessage="1" showErrorMessage="1" error="Risk adjustment percentage cannot be negative" sqref="F14:G14" xr:uid="{8514CB2A-9596-4EB4-8083-70DB118D7C69}">
      <formula1>0</formula1>
    </dataValidation>
    <dataValidation type="decimal" operator="greaterThan" allowBlank="1" showInputMessage="1" showErrorMessage="1" error="Total premiums have to be greater than zero" sqref="F21" xr:uid="{449C8843-F017-431E-BC09-A005481BC68A}">
      <formula1>0</formula1>
    </dataValidation>
    <dataValidation type="decimal" operator="greaterThanOrEqual" allowBlank="1" showInputMessage="1" showErrorMessage="1" error="Discount rate cannot be negative" sqref="F17:G18" xr:uid="{3054CD54-8AF8-41D8-89C0-24E7C6655428}">
      <formula1>0</formula1>
    </dataValidation>
    <dataValidation type="decimal" operator="greaterThan" allowBlank="1" showInputMessage="1" showErrorMessage="1" error="Risk distribution weights have to be greater than zero" sqref="P71:Q90 P40:Q59 P102:Q121 U40:U59 U71:U90 U102:U121" xr:uid="{C6330B9D-7D1F-49B0-A9BF-109C5886899F}">
      <formula1>0</formula1>
    </dataValidation>
    <dataValidation type="decimal" operator="greaterThan" allowBlank="1" showInputMessage="1" showErrorMessage="1" error="Coverage units have to be greater than zero" sqref="J71:M90 J102:M121 J40:M59 O71:O90 O40:O59 O102:O121 T71:T90 T102:T121" xr:uid="{19194C65-5142-4BFA-85A0-24CCCFB16C83}">
      <formula1>0</formula1>
    </dataValidation>
    <dataValidation type="list" operator="greaterThanOrEqual" allowBlank="1" showInputMessage="1" showErrorMessage="1" error="Discount rate cannot be negative" sqref="F23:F25 F27 F29" xr:uid="{E4509A1A-1DA8-499F-9102-5B6D4A426293}">
      <formula1>"yes, no"</formula1>
    </dataValidation>
    <dataValidation type="list" operator="greaterThanOrEqual" allowBlank="1" showInputMessage="1" showErrorMessage="1" error="Discount rate cannot be negative" sqref="F26" xr:uid="{69C5758F-82DE-434B-8B92-060959B04D65}">
      <formula1>"time, policies IF, risk, immediate"</formula1>
    </dataValidation>
    <dataValidation type="decimal" allowBlank="1" showInputMessage="1" showErrorMessage="1" error="Lapsre ratio should be between 0 and 100%" sqref="F19:G19" xr:uid="{70015116-3075-4331-9182-4CB1ACF2CAB7}">
      <formula1>0</formula1>
      <formula2>1</formula2>
    </dataValidation>
    <dataValidation type="list" allowBlank="1" showInputMessage="1" showErrorMessage="1" sqref="F8" xr:uid="{632F91BE-F2EF-413C-83B3-DC25A964B4F7}">
      <formula1>$C$40:$C$59</formula1>
    </dataValidation>
    <dataValidation type="decimal" operator="greaterThanOrEqual" allowBlank="1" showInputMessage="1" showErrorMessage="1" error="Claims ratio cannot be negative" sqref="F11:G11" xr:uid="{4FFFCE89-55AA-42B3-B56B-28BE7DD1D6B9}">
      <formula1>0</formula1>
    </dataValidation>
    <dataValidation type="decimal" operator="greaterThanOrEqual" allowBlank="1" showInputMessage="1" showErrorMessage="1" error="Coverage units have to be greater than zero" sqref="T40:T59" xr:uid="{94CDAD72-D2BA-4286-8B61-EBB6DB2CB7FC}">
      <formula1>0</formula1>
    </dataValidation>
    <dataValidation type="list" operator="greaterThanOrEqual" allowBlank="1" showInputMessage="1" showErrorMessage="1" error="Discount rate cannot be negative" sqref="F28" xr:uid="{C629EDE7-A797-4C0F-819D-30ABD2C4B464}">
      <formula1>"time, policies IF, risk"</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B00EB-DB54-4203-A9CB-5E423A40DEF4}">
  <sheetPr>
    <tabColor theme="9" tint="-0.249977111117893"/>
  </sheetPr>
  <dimension ref="B3:C67"/>
  <sheetViews>
    <sheetView zoomScale="80" zoomScaleNormal="80" zoomScaleSheetLayoutView="70" workbookViewId="0">
      <pane ySplit="3" topLeftCell="A4" activePane="bottomLeft" state="frozen"/>
      <selection pane="bottomLeft" activeCell="A24" sqref="A24"/>
    </sheetView>
  </sheetViews>
  <sheetFormatPr defaultColWidth="9.15625" defaultRowHeight="12.3" x14ac:dyDescent="0.4"/>
  <cols>
    <col min="1" max="1" width="4.578125" style="99" customWidth="1"/>
    <col min="2" max="2" width="24.41796875" style="99" customWidth="1"/>
    <col min="3" max="3" width="114.41796875" style="178" customWidth="1"/>
    <col min="4" max="16384" width="9.15625" style="99"/>
  </cols>
  <sheetData>
    <row r="3" spans="2:3" ht="14.5" customHeight="1" x14ac:dyDescent="0.4"/>
    <row r="4" spans="2:3" ht="14.5" customHeight="1" x14ac:dyDescent="0.4"/>
    <row r="5" spans="2:3" x14ac:dyDescent="0.4">
      <c r="B5" s="100" t="s">
        <v>134</v>
      </c>
      <c r="C5" s="179" t="s">
        <v>128</v>
      </c>
    </row>
    <row r="6" spans="2:3" ht="15.75" customHeight="1" x14ac:dyDescent="0.4">
      <c r="B6" s="192" t="s">
        <v>414</v>
      </c>
      <c r="C6" s="173" t="s">
        <v>398</v>
      </c>
    </row>
    <row r="7" spans="2:3" ht="15.75" customHeight="1" x14ac:dyDescent="0.4">
      <c r="B7" s="192"/>
      <c r="C7" s="173" t="s">
        <v>399</v>
      </c>
    </row>
    <row r="8" spans="2:3" ht="15.75" customHeight="1" x14ac:dyDescent="0.4">
      <c r="B8" s="192"/>
      <c r="C8" s="174" t="s">
        <v>400</v>
      </c>
    </row>
    <row r="9" spans="2:3" ht="15.75" customHeight="1" x14ac:dyDescent="0.4">
      <c r="B9" s="192"/>
      <c r="C9" s="174" t="s">
        <v>401</v>
      </c>
    </row>
    <row r="10" spans="2:3" ht="30" customHeight="1" thickBot="1" x14ac:dyDescent="0.45">
      <c r="B10" s="193"/>
      <c r="C10" s="175" t="s">
        <v>402</v>
      </c>
    </row>
    <row r="11" spans="2:3" x14ac:dyDescent="0.4">
      <c r="B11" s="191" t="s">
        <v>135</v>
      </c>
      <c r="C11" s="176" t="s">
        <v>405</v>
      </c>
    </row>
    <row r="12" spans="2:3" x14ac:dyDescent="0.4">
      <c r="B12" s="192"/>
      <c r="C12" s="173" t="s">
        <v>403</v>
      </c>
    </row>
    <row r="13" spans="2:3" ht="12.6" thickBot="1" x14ac:dyDescent="0.45">
      <c r="B13" s="193"/>
      <c r="C13" s="175" t="s">
        <v>404</v>
      </c>
    </row>
    <row r="14" spans="2:3" ht="15.75" customHeight="1" x14ac:dyDescent="0.4">
      <c r="B14" s="191" t="s">
        <v>435</v>
      </c>
      <c r="C14" s="176" t="s">
        <v>412</v>
      </c>
    </row>
    <row r="15" spans="2:3" ht="15.75" customHeight="1" x14ac:dyDescent="0.4">
      <c r="B15" s="194"/>
      <c r="C15" s="181" t="s">
        <v>456</v>
      </c>
    </row>
    <row r="16" spans="2:3" ht="39.9" customHeight="1" x14ac:dyDescent="0.4">
      <c r="B16" s="192"/>
      <c r="C16" s="173" t="s">
        <v>407</v>
      </c>
    </row>
    <row r="17" spans="2:3" ht="12.6" thickBot="1" x14ac:dyDescent="0.45">
      <c r="B17" s="193"/>
      <c r="C17" s="173" t="s">
        <v>406</v>
      </c>
    </row>
    <row r="18" spans="2:3" ht="29.1" customHeight="1" thickBot="1" x14ac:dyDescent="0.45">
      <c r="B18" s="156" t="s">
        <v>416</v>
      </c>
      <c r="C18" s="177" t="s">
        <v>457</v>
      </c>
    </row>
    <row r="19" spans="2:3" ht="15.75" customHeight="1" x14ac:dyDescent="0.4">
      <c r="B19" s="195" t="s">
        <v>410</v>
      </c>
      <c r="C19" s="176" t="s">
        <v>408</v>
      </c>
    </row>
    <row r="20" spans="2:3" ht="12.6" thickBot="1" x14ac:dyDescent="0.45">
      <c r="B20" s="196"/>
      <c r="C20" s="175" t="s">
        <v>409</v>
      </c>
    </row>
    <row r="21" spans="2:3" ht="15.75" customHeight="1" x14ac:dyDescent="0.4">
      <c r="B21" s="191" t="s">
        <v>411</v>
      </c>
      <c r="C21" s="176" t="s">
        <v>415</v>
      </c>
    </row>
    <row r="22" spans="2:3" ht="12.75" customHeight="1" thickBot="1" x14ac:dyDescent="0.45">
      <c r="B22" s="193"/>
      <c r="C22" s="175" t="s">
        <v>458</v>
      </c>
    </row>
    <row r="23" spans="2:3" ht="15.75" customHeight="1" x14ac:dyDescent="0.4">
      <c r="B23" s="191" t="s">
        <v>151</v>
      </c>
      <c r="C23" s="176" t="s">
        <v>417</v>
      </c>
    </row>
    <row r="24" spans="2:3" x14ac:dyDescent="0.4">
      <c r="B24" s="192"/>
      <c r="C24" s="173" t="s">
        <v>419</v>
      </c>
    </row>
    <row r="25" spans="2:3" ht="12.6" thickBot="1" x14ac:dyDescent="0.45">
      <c r="B25" s="193"/>
      <c r="C25" s="175" t="s">
        <v>418</v>
      </c>
    </row>
    <row r="26" spans="2:3" ht="15.75" customHeight="1" x14ac:dyDescent="0.4">
      <c r="B26" s="191" t="s">
        <v>420</v>
      </c>
      <c r="C26" s="176" t="s">
        <v>421</v>
      </c>
    </row>
    <row r="27" spans="2:3" ht="12.6" thickBot="1" x14ac:dyDescent="0.45">
      <c r="B27" s="193"/>
      <c r="C27" s="175" t="s">
        <v>419</v>
      </c>
    </row>
    <row r="28" spans="2:3" ht="15.75" customHeight="1" thickBot="1" x14ac:dyDescent="0.45">
      <c r="B28" s="172" t="s">
        <v>117</v>
      </c>
      <c r="C28" s="176" t="s">
        <v>422</v>
      </c>
    </row>
    <row r="29" spans="2:3" ht="15.75" customHeight="1" x14ac:dyDescent="0.4">
      <c r="B29" s="191" t="s">
        <v>424</v>
      </c>
      <c r="C29" s="176" t="s">
        <v>136</v>
      </c>
    </row>
    <row r="30" spans="2:3" x14ac:dyDescent="0.4">
      <c r="B30" s="192"/>
      <c r="C30" s="180" t="s">
        <v>426</v>
      </c>
    </row>
    <row r="31" spans="2:3" x14ac:dyDescent="0.4">
      <c r="B31" s="197"/>
      <c r="C31" s="180" t="s">
        <v>425</v>
      </c>
    </row>
    <row r="32" spans="2:3" ht="12.6" thickBot="1" x14ac:dyDescent="0.45">
      <c r="B32" s="193"/>
      <c r="C32" s="175" t="s">
        <v>423</v>
      </c>
    </row>
    <row r="33" spans="2:3" ht="15.75" customHeight="1" x14ac:dyDescent="0.4">
      <c r="B33" s="191" t="s">
        <v>427</v>
      </c>
      <c r="C33" s="176" t="s">
        <v>136</v>
      </c>
    </row>
    <row r="34" spans="2:3" ht="26.4" customHeight="1" x14ac:dyDescent="0.4">
      <c r="B34" s="198"/>
      <c r="C34" s="173" t="s">
        <v>429</v>
      </c>
    </row>
    <row r="35" spans="2:3" x14ac:dyDescent="0.4">
      <c r="B35" s="197"/>
      <c r="C35" s="174" t="s">
        <v>428</v>
      </c>
    </row>
    <row r="36" spans="2:3" ht="12.6" thickBot="1" x14ac:dyDescent="0.45">
      <c r="B36" s="193"/>
      <c r="C36" s="175" t="s">
        <v>423</v>
      </c>
    </row>
    <row r="37" spans="2:3" ht="15.75" customHeight="1" x14ac:dyDescent="0.4">
      <c r="B37" s="191" t="s">
        <v>430</v>
      </c>
      <c r="C37" s="176" t="s">
        <v>136</v>
      </c>
    </row>
    <row r="38" spans="2:3" x14ac:dyDescent="0.4">
      <c r="B38" s="192"/>
      <c r="C38" s="173" t="s">
        <v>432</v>
      </c>
    </row>
    <row r="39" spans="2:3" ht="12.6" thickBot="1" x14ac:dyDescent="0.45">
      <c r="B39" s="193"/>
      <c r="C39" s="175" t="s">
        <v>431</v>
      </c>
    </row>
    <row r="40" spans="2:3" ht="15.75" customHeight="1" x14ac:dyDescent="0.4">
      <c r="B40" s="191" t="s">
        <v>459</v>
      </c>
      <c r="C40" s="176" t="s">
        <v>137</v>
      </c>
    </row>
    <row r="41" spans="2:3" x14ac:dyDescent="0.4">
      <c r="B41" s="192"/>
      <c r="C41" s="173" t="s">
        <v>436</v>
      </c>
    </row>
    <row r="42" spans="2:3" x14ac:dyDescent="0.4">
      <c r="B42" s="192"/>
      <c r="C42" s="173" t="s">
        <v>437</v>
      </c>
    </row>
    <row r="43" spans="2:3" x14ac:dyDescent="0.4">
      <c r="B43" s="192"/>
      <c r="C43" s="173" t="s">
        <v>438</v>
      </c>
    </row>
    <row r="44" spans="2:3" x14ac:dyDescent="0.4">
      <c r="B44" s="197"/>
      <c r="C44" s="173" t="s">
        <v>460</v>
      </c>
    </row>
    <row r="45" spans="2:3" ht="12.6" thickBot="1" x14ac:dyDescent="0.45">
      <c r="B45" s="193"/>
      <c r="C45" s="175" t="s">
        <v>423</v>
      </c>
    </row>
    <row r="46" spans="2:3" ht="15.75" customHeight="1" x14ac:dyDescent="0.4">
      <c r="B46" s="191" t="s">
        <v>131</v>
      </c>
      <c r="C46" s="176" t="s">
        <v>136</v>
      </c>
    </row>
    <row r="47" spans="2:3" x14ac:dyDescent="0.4">
      <c r="B47" s="192"/>
      <c r="C47" s="173" t="s">
        <v>439</v>
      </c>
    </row>
    <row r="48" spans="2:3" x14ac:dyDescent="0.4">
      <c r="B48" s="192"/>
      <c r="C48" s="173" t="s">
        <v>440</v>
      </c>
    </row>
    <row r="49" spans="2:3" ht="12.6" thickBot="1" x14ac:dyDescent="0.45">
      <c r="B49" s="193"/>
      <c r="C49" s="175" t="s">
        <v>423</v>
      </c>
    </row>
    <row r="50" spans="2:3" ht="15.75" customHeight="1" x14ac:dyDescent="0.4">
      <c r="B50" s="191" t="s">
        <v>343</v>
      </c>
      <c r="C50" s="176" t="s">
        <v>138</v>
      </c>
    </row>
    <row r="51" spans="2:3" ht="25.8" customHeight="1" x14ac:dyDescent="0.4">
      <c r="B51" s="192"/>
      <c r="C51" s="173" t="s">
        <v>443</v>
      </c>
    </row>
    <row r="52" spans="2:3" x14ac:dyDescent="0.4">
      <c r="B52" s="192"/>
      <c r="C52" s="173" t="s">
        <v>444</v>
      </c>
    </row>
    <row r="53" spans="2:3" ht="12.6" thickBot="1" x14ac:dyDescent="0.45">
      <c r="B53" s="192"/>
      <c r="C53" s="173" t="s">
        <v>445</v>
      </c>
    </row>
    <row r="54" spans="2:3" x14ac:dyDescent="0.4">
      <c r="B54" s="191" t="s">
        <v>387</v>
      </c>
      <c r="C54" s="176" t="s">
        <v>136</v>
      </c>
    </row>
    <row r="55" spans="2:3" x14ac:dyDescent="0.4">
      <c r="B55" s="192"/>
      <c r="C55" s="181" t="s">
        <v>446</v>
      </c>
    </row>
    <row r="56" spans="2:3" ht="12.6" thickBot="1" x14ac:dyDescent="0.45">
      <c r="B56" s="192"/>
      <c r="C56" s="181" t="s">
        <v>447</v>
      </c>
    </row>
    <row r="57" spans="2:3" ht="15.75" customHeight="1" x14ac:dyDescent="0.4">
      <c r="B57" s="191" t="s">
        <v>33</v>
      </c>
      <c r="C57" s="176" t="s">
        <v>448</v>
      </c>
    </row>
    <row r="58" spans="2:3" x14ac:dyDescent="0.4">
      <c r="B58" s="192"/>
      <c r="C58" s="173" t="s">
        <v>449</v>
      </c>
    </row>
    <row r="59" spans="2:3" x14ac:dyDescent="0.4">
      <c r="B59" s="197"/>
      <c r="C59" s="174" t="s">
        <v>450</v>
      </c>
    </row>
    <row r="60" spans="2:3" ht="12.6" thickBot="1" x14ac:dyDescent="0.45">
      <c r="B60" s="193"/>
      <c r="C60" s="175" t="s">
        <v>451</v>
      </c>
    </row>
    <row r="61" spans="2:3" ht="15.75" customHeight="1" x14ac:dyDescent="0.4">
      <c r="B61" s="191" t="s">
        <v>38</v>
      </c>
      <c r="C61" s="176" t="s">
        <v>448</v>
      </c>
    </row>
    <row r="62" spans="2:3" x14ac:dyDescent="0.4">
      <c r="B62" s="192"/>
      <c r="C62" s="173" t="s">
        <v>350</v>
      </c>
    </row>
    <row r="63" spans="2:3" x14ac:dyDescent="0.4">
      <c r="B63" s="192"/>
      <c r="C63" s="173" t="s">
        <v>139</v>
      </c>
    </row>
    <row r="64" spans="2:3" ht="12.6" thickBot="1" x14ac:dyDescent="0.45">
      <c r="B64" s="193"/>
      <c r="C64" s="175" t="s">
        <v>452</v>
      </c>
    </row>
    <row r="65" spans="2:3" x14ac:dyDescent="0.4">
      <c r="B65" s="191" t="s">
        <v>453</v>
      </c>
      <c r="C65" s="176" t="s">
        <v>454</v>
      </c>
    </row>
    <row r="66" spans="2:3" x14ac:dyDescent="0.4">
      <c r="B66" s="198"/>
      <c r="C66" s="173" t="s">
        <v>448</v>
      </c>
    </row>
    <row r="67" spans="2:3" ht="12.6" thickBot="1" x14ac:dyDescent="0.45">
      <c r="B67" s="193"/>
      <c r="C67" s="175" t="s">
        <v>455</v>
      </c>
    </row>
  </sheetData>
  <sheetProtection algorithmName="SHA-512" hashValue="CZigfPs2oCbt7C+DodJIay99jRm6YfSPuPVKix8xlnb8hBM63hzd81fwPM8Ls8dAcyu+FUvDr2UlufPHlhz4vQ==" saltValue="+UyeN616jPfK8POZeB/gQg==" spinCount="100000" sheet="1" objects="1" scenarios="1"/>
  <mergeCells count="17">
    <mergeCell ref="B65:B67"/>
    <mergeCell ref="B40:B45"/>
    <mergeCell ref="B46:B49"/>
    <mergeCell ref="B50:B53"/>
    <mergeCell ref="B57:B60"/>
    <mergeCell ref="B61:B64"/>
    <mergeCell ref="B54:B56"/>
    <mergeCell ref="B37:B39"/>
    <mergeCell ref="B6:B10"/>
    <mergeCell ref="B11:B13"/>
    <mergeCell ref="B14:B17"/>
    <mergeCell ref="B19:B20"/>
    <mergeCell ref="B21:B22"/>
    <mergeCell ref="B23:B25"/>
    <mergeCell ref="B26:B27"/>
    <mergeCell ref="B29:B32"/>
    <mergeCell ref="B33:B3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8B48C-26A1-4998-A1EE-DDC1D062DC4F}">
  <sheetPr>
    <tabColor theme="9" tint="-0.249977111117893"/>
  </sheetPr>
  <dimension ref="B3:G26"/>
  <sheetViews>
    <sheetView zoomScale="70" zoomScaleNormal="70" workbookViewId="0">
      <pane ySplit="3" topLeftCell="A4" activePane="bottomLeft" state="frozen"/>
      <selection pane="bottomLeft" activeCell="A28" sqref="A28"/>
    </sheetView>
  </sheetViews>
  <sheetFormatPr defaultColWidth="9.15625" defaultRowHeight="12.9" x14ac:dyDescent="0.5"/>
  <cols>
    <col min="1" max="1" width="5.15625" style="14" customWidth="1"/>
    <col min="2" max="2" width="9" style="158" customWidth="1"/>
    <col min="3" max="3" width="40.83984375" style="14" customWidth="1"/>
    <col min="4" max="16384" width="9.15625" style="14"/>
  </cols>
  <sheetData>
    <row r="3" spans="2:7" ht="14.5" customHeight="1" x14ac:dyDescent="0.5"/>
    <row r="4" spans="2:7" ht="14.5" customHeight="1" x14ac:dyDescent="0.5"/>
    <row r="5" spans="2:7" ht="14.5" customHeight="1" x14ac:dyDescent="0.5"/>
    <row r="6" spans="2:7" x14ac:dyDescent="0.5">
      <c r="B6" s="157" t="s">
        <v>367</v>
      </c>
      <c r="C6" s="159" t="s">
        <v>366</v>
      </c>
      <c r="D6" s="157" t="s">
        <v>351</v>
      </c>
      <c r="E6" s="157" t="s">
        <v>352</v>
      </c>
      <c r="F6" s="157" t="s">
        <v>353</v>
      </c>
      <c r="G6" s="157" t="s">
        <v>354</v>
      </c>
    </row>
    <row r="7" spans="2:7" x14ac:dyDescent="0.5">
      <c r="B7" s="158" t="s">
        <v>361</v>
      </c>
      <c r="C7" s="14" t="s">
        <v>357</v>
      </c>
      <c r="D7" s="158" t="str">
        <f ca="1">IF(ABS('2 years'!$AK$47)&lt;10^-3,"ok","diff")</f>
        <v>ok</v>
      </c>
      <c r="E7" s="158" t="str">
        <f ca="1">IF(ABS('3 years'!$AK$51)&lt;10^-3,"ok","diff")</f>
        <v>ok</v>
      </c>
      <c r="F7" s="158" t="str">
        <f ca="1">IF(ABS('4 years'!$AK$55)&lt;10^-3,"ok","diff")</f>
        <v>ok</v>
      </c>
      <c r="G7" s="158" t="str">
        <f ca="1">IF(ABS('5 years'!$AK$59)&lt;10^-3,"ok","diff")</f>
        <v>ok</v>
      </c>
    </row>
    <row r="8" spans="2:7" x14ac:dyDescent="0.5">
      <c r="B8" s="158" t="s">
        <v>361</v>
      </c>
      <c r="C8" s="14" t="s">
        <v>358</v>
      </c>
      <c r="D8" s="158" t="str">
        <f>IF(ABS('2 years'!$AL$47)&lt;10^-3,"ok","diff")</f>
        <v>ok</v>
      </c>
      <c r="E8" s="158" t="str">
        <f>IF(ABS('3 years'!$AL$51)&lt;10^-3,"ok","diff")</f>
        <v>ok</v>
      </c>
      <c r="F8" s="158" t="str">
        <f>IF(ABS('4 years'!$AL$55)&lt;10^-3,"ok","diff")</f>
        <v>ok</v>
      </c>
      <c r="G8" s="158" t="str">
        <f>IF(ABS('5 years'!$AL$59)&lt;10^-3,"ok","diff")</f>
        <v>ok</v>
      </c>
    </row>
    <row r="9" spans="2:7" x14ac:dyDescent="0.5">
      <c r="B9" s="158" t="s">
        <v>361</v>
      </c>
      <c r="C9" s="14" t="s">
        <v>359</v>
      </c>
      <c r="D9" s="158" t="str">
        <f ca="1">IF(ABS('2 years'!$AN$47)&lt;10^-3,"ok","diff")</f>
        <v>ok</v>
      </c>
      <c r="E9" s="158" t="str">
        <f ca="1">IF(ABS('3 years'!$AN$51)&lt;10^-3,"ok","diff")</f>
        <v>ok</v>
      </c>
      <c r="F9" s="158" t="str">
        <f ca="1">IF(ABS('4 years'!$AN$55)&lt;10^-3,"ok","diff")</f>
        <v>ok</v>
      </c>
      <c r="G9" s="158" t="str">
        <f ca="1">IF(ABS('5 years'!$AN$59)&lt;10^-3,"ok","diff")</f>
        <v>ok</v>
      </c>
    </row>
    <row r="10" spans="2:7" x14ac:dyDescent="0.5">
      <c r="B10" s="158" t="s">
        <v>361</v>
      </c>
      <c r="C10" s="14" t="s">
        <v>360</v>
      </c>
      <c r="D10" s="158" t="str">
        <f ca="1">IF(ABS('2 years'!$AO$47)&lt;10^-3,"ok","diff")</f>
        <v>ok</v>
      </c>
      <c r="E10" s="158" t="str">
        <f ca="1">IF(ABS('3 years'!$AO$51)&lt;10^-3,"ok","diff")</f>
        <v>ok</v>
      </c>
      <c r="F10" s="158" t="str">
        <f ca="1">IF(ABS('4 years'!$AO$55)&lt;10^-3,"ok","diff")</f>
        <v>ok</v>
      </c>
      <c r="G10" s="158" t="str">
        <f ca="1">IF(ABS('5 years'!$AO$59)&lt;10^-3,"ok","diff")</f>
        <v>ok</v>
      </c>
    </row>
    <row r="11" spans="2:7" x14ac:dyDescent="0.5">
      <c r="B11" s="158" t="s">
        <v>362</v>
      </c>
      <c r="C11" s="14" t="s">
        <v>357</v>
      </c>
      <c r="D11" s="158" t="str">
        <f ca="1">IF(ABS('2 years'!$AK$66)&lt;10^-3,"ok","diff")</f>
        <v>ok</v>
      </c>
      <c r="E11" s="158" t="str">
        <f ca="1">IF(ABS('3 years'!$AK$74)&lt;10^-3,"ok","diff")</f>
        <v>ok</v>
      </c>
      <c r="F11" s="158" t="str">
        <f ca="1">IF(ABS('4 years'!$AK$82)&lt;10^-3,"ok","diff")</f>
        <v>ok</v>
      </c>
      <c r="G11" s="158" t="str">
        <f ca="1">IF(ABS('5 years'!$AK$90)&lt;10^-3,"ok","diff")</f>
        <v>ok</v>
      </c>
    </row>
    <row r="12" spans="2:7" x14ac:dyDescent="0.5">
      <c r="B12" s="158" t="s">
        <v>362</v>
      </c>
      <c r="C12" s="14" t="s">
        <v>358</v>
      </c>
      <c r="D12" s="158" t="str">
        <f>IF(ABS('2 years'!$AL$66)&lt;10^-3,"ok","diff")</f>
        <v>ok</v>
      </c>
      <c r="E12" s="158" t="str">
        <f>IF(ABS('3 years'!$AL$74)&lt;10^-3,"ok","diff")</f>
        <v>ok</v>
      </c>
      <c r="F12" s="158" t="str">
        <f>IF(ABS('4 years'!$AL$82)&lt;10^-3,"ok","diff")</f>
        <v>ok</v>
      </c>
      <c r="G12" s="158" t="str">
        <f>IF(ABS('5 years'!$AL$90)&lt;10^-3,"ok","diff")</f>
        <v>ok</v>
      </c>
    </row>
    <row r="13" spans="2:7" x14ac:dyDescent="0.5">
      <c r="B13" s="158" t="s">
        <v>362</v>
      </c>
      <c r="C13" s="14" t="s">
        <v>359</v>
      </c>
      <c r="D13" s="158" t="str">
        <f ca="1">IF(ABS('2 years'!$AN$66)&lt;10^-3,"ok","diff")</f>
        <v>ok</v>
      </c>
      <c r="E13" s="158" t="str">
        <f ca="1">IF(ABS('3 years'!$AN$74)&lt;10^-3,"ok","diff")</f>
        <v>ok</v>
      </c>
      <c r="F13" s="158" t="str">
        <f ca="1">IF(ABS('4 years'!$AN$82)&lt;10^-3,"ok","diff")</f>
        <v>ok</v>
      </c>
      <c r="G13" s="158" t="str">
        <f ca="1">IF(ABS('5 years'!$AN$90)&lt;10^-3,"ok","diff")</f>
        <v>ok</v>
      </c>
    </row>
    <row r="14" spans="2:7" x14ac:dyDescent="0.5">
      <c r="B14" s="158" t="s">
        <v>362</v>
      </c>
      <c r="C14" s="14" t="s">
        <v>360</v>
      </c>
      <c r="D14" s="158" t="str">
        <f ca="1">IF(ABS('2 years'!$AO$66)&lt;10^-3,"ok","diff")</f>
        <v>ok</v>
      </c>
      <c r="E14" s="158" t="str">
        <f ca="1">IF(ABS('3 years'!$AO$74)&lt;10^-3,"ok","diff")</f>
        <v>ok</v>
      </c>
      <c r="F14" s="158" t="str">
        <f ca="1">IF(ABS('4 years'!$AO$82)&lt;10^-3,"ok","diff")</f>
        <v>ok</v>
      </c>
      <c r="G14" s="158" t="str">
        <f ca="1">IF(ABS('5 years'!$AO$90)&lt;10^-3,"ok","diff")</f>
        <v>ok</v>
      </c>
    </row>
    <row r="15" spans="2:7" x14ac:dyDescent="0.5">
      <c r="B15" s="158" t="s">
        <v>363</v>
      </c>
      <c r="C15" s="14" t="s">
        <v>357</v>
      </c>
      <c r="D15" s="158" t="str">
        <f ca="1">IF(ABS('2 years'!$AK$85)&lt;10^-3,"ok","diff")</f>
        <v>ok</v>
      </c>
      <c r="E15" s="158" t="str">
        <f ca="1">IF(ABS('3 years'!$AK$97)&lt;10^-3,"ok","diff")</f>
        <v>ok</v>
      </c>
      <c r="F15" s="158" t="str">
        <f ca="1">IF(ABS('4 years'!$AK$109)&lt;10^-3,"ok","diff")</f>
        <v>ok</v>
      </c>
      <c r="G15" s="158" t="str">
        <f ca="1">IF(ABS('5 years'!$AK$121)&lt;10^-3,"ok","diff")</f>
        <v>ok</v>
      </c>
    </row>
    <row r="16" spans="2:7" x14ac:dyDescent="0.5">
      <c r="B16" s="158" t="s">
        <v>363</v>
      </c>
      <c r="C16" s="14" t="s">
        <v>358</v>
      </c>
      <c r="D16" s="158" t="str">
        <f>IF(ABS('2 years'!$AL$85)&lt;10^-3,"ok","diff")</f>
        <v>ok</v>
      </c>
      <c r="E16" s="158" t="str">
        <f>IF(ABS('3 years'!$AL$97)&lt;10^-3,"ok","diff")</f>
        <v>ok</v>
      </c>
      <c r="F16" s="158" t="str">
        <f>IF(ABS('4 years'!$AL$109)&lt;10^-3,"ok","diff")</f>
        <v>ok</v>
      </c>
      <c r="G16" s="158" t="str">
        <f>IF(ABS('5 years'!$AL$121)&lt;10^-3,"ok","diff")</f>
        <v>ok</v>
      </c>
    </row>
    <row r="17" spans="2:7" x14ac:dyDescent="0.5">
      <c r="B17" s="158" t="s">
        <v>363</v>
      </c>
      <c r="C17" s="14" t="s">
        <v>359</v>
      </c>
      <c r="D17" s="158" t="str">
        <f ca="1">IF(ABS('2 years'!$AN$85)&lt;10^-3,"ok","diff")</f>
        <v>ok</v>
      </c>
      <c r="E17" s="158" t="str">
        <f ca="1">IF(ABS('3 years'!$AN$97)&lt;10^-3,"ok","diff")</f>
        <v>ok</v>
      </c>
      <c r="F17" s="158" t="str">
        <f ca="1">IF(ABS('4 years'!$AN$109)&lt;10^-3,"ok","diff")</f>
        <v>ok</v>
      </c>
      <c r="G17" s="158" t="str">
        <f ca="1">IF(ABS('5 years'!$AN$121)&lt;10^-3,"ok","diff")</f>
        <v>ok</v>
      </c>
    </row>
    <row r="18" spans="2:7" x14ac:dyDescent="0.5">
      <c r="B18" s="158" t="s">
        <v>363</v>
      </c>
      <c r="C18" s="14" t="s">
        <v>360</v>
      </c>
      <c r="D18" s="158" t="str">
        <f ca="1">IF(ABS('2 years'!$AO$85)&lt;10^-3,"ok","diff")</f>
        <v>ok</v>
      </c>
      <c r="E18" s="158" t="str">
        <f ca="1">IF(ABS('3 years'!$AO$97)&lt;10^-3,"ok","diff")</f>
        <v>ok</v>
      </c>
      <c r="F18" s="158" t="str">
        <f ca="1">IF(ABS('4 years'!$AO$109)&lt;10^-3,"ok","diff")</f>
        <v>ok</v>
      </c>
      <c r="G18" s="158" t="str">
        <f ca="1">IF(ABS('5 years'!$AO$121)&lt;10^-3,"ok","diff")</f>
        <v>ok</v>
      </c>
    </row>
    <row r="19" spans="2:7" x14ac:dyDescent="0.5">
      <c r="B19" s="158" t="s">
        <v>364</v>
      </c>
      <c r="C19" s="14" t="s">
        <v>365</v>
      </c>
      <c r="D19" s="158" t="str">
        <f ca="1">IF(ABS('2 years'!$M$104)&lt;10^-3,"ok","diff")</f>
        <v>ok</v>
      </c>
      <c r="E19" s="158" t="str">
        <f ca="1">IF(ABS('3 years'!$M$120)&lt;10^-3,"ok","diff")</f>
        <v>ok</v>
      </c>
      <c r="F19" s="158" t="str">
        <f ca="1">IF(ABS('4 years'!$M$136)&lt;10^-3,"ok","diff")</f>
        <v>ok</v>
      </c>
      <c r="G19" s="158" t="str">
        <f ca="1">IF(ABS('5 years'!$M$152)&lt;10^-3,"ok","diff")</f>
        <v>ok</v>
      </c>
    </row>
    <row r="20" spans="2:7" x14ac:dyDescent="0.5">
      <c r="B20" s="158" t="s">
        <v>364</v>
      </c>
      <c r="C20" s="14" t="s">
        <v>358</v>
      </c>
      <c r="D20" s="158" t="str">
        <f>IF(ABS('2 years'!$U$104)&lt;10^-3,"ok","diff")</f>
        <v>ok</v>
      </c>
      <c r="E20" s="158" t="str">
        <f>IF(ABS('3 years'!$U$120)&lt;10^-3,"ok","diff")</f>
        <v>ok</v>
      </c>
      <c r="F20" s="158" t="str">
        <f>IF(ABS('4 years'!$U$136)&lt;10^-3,"ok","diff")</f>
        <v>ok</v>
      </c>
      <c r="G20" s="158" t="str">
        <f>IF(ABS('5 years'!$U$152)&lt;10^-3,"ok","diff")</f>
        <v>ok</v>
      </c>
    </row>
    <row r="21" spans="2:7" x14ac:dyDescent="0.5">
      <c r="B21" s="158" t="s">
        <v>364</v>
      </c>
      <c r="C21" s="14" t="s">
        <v>368</v>
      </c>
      <c r="D21" s="158" t="str">
        <f ca="1">IF(ABS('2 years'!$AC$104)&lt;10^-3,"ok","diff")</f>
        <v>ok</v>
      </c>
      <c r="E21" s="158" t="str">
        <f ca="1">IF(ABS('3 years'!$AC$120)&lt;10^-3,"ok","diff")</f>
        <v>ok</v>
      </c>
      <c r="F21" s="158" t="str">
        <f ca="1">IF(ABS('4 years'!$AC$136)&lt;10^-3,"ok","diff")</f>
        <v>ok</v>
      </c>
      <c r="G21" s="158" t="str">
        <f ca="1">IF(ABS('5 years'!$AC$152)&lt;10^-3,"ok","diff")</f>
        <v>ok</v>
      </c>
    </row>
    <row r="22" spans="2:7" x14ac:dyDescent="0.5">
      <c r="B22" s="158" t="s">
        <v>364</v>
      </c>
      <c r="C22" s="14" t="s">
        <v>369</v>
      </c>
      <c r="D22" s="158" t="str">
        <f>IF(ABS('2 years'!$AK$104)&lt;10^-3,"ok","diff")</f>
        <v>ok</v>
      </c>
      <c r="E22" s="158" t="str">
        <f>IF(ABS('3 years'!$AK$120)&lt;10^-3,"ok","diff")</f>
        <v>ok</v>
      </c>
      <c r="F22" s="158" t="str">
        <f>IF(ABS('4 years'!$AK$136)&lt;10^-3,"ok","diff")</f>
        <v>ok</v>
      </c>
      <c r="G22" s="158" t="str">
        <f>IF(ABS('5 years'!$AK$152)&lt;10^-3,"ok","diff")</f>
        <v>ok</v>
      </c>
    </row>
    <row r="23" spans="2:7" x14ac:dyDescent="0.5">
      <c r="B23" s="158" t="s">
        <v>370</v>
      </c>
      <c r="C23" s="14" t="s">
        <v>371</v>
      </c>
      <c r="D23" s="158" t="str">
        <f>IF(ABS('2 years'!$J$123)&lt;10^-3,"ok","diff")</f>
        <v>ok</v>
      </c>
      <c r="E23" s="158" t="str">
        <f>IF(ABS('3 years'!$J$143)&lt;10^-3,"ok","diff")</f>
        <v>ok</v>
      </c>
      <c r="F23" s="158" t="str">
        <f>IF(ABS('4 years'!$J$163)&lt;10^-3,"ok","diff")</f>
        <v>ok</v>
      </c>
      <c r="G23" s="158" t="str">
        <f>IF(ABS('5 years'!$J$183)&lt;10^-3,"ok","diff")</f>
        <v>ok</v>
      </c>
    </row>
    <row r="24" spans="2:7" x14ac:dyDescent="0.5">
      <c r="B24" s="158" t="s">
        <v>370</v>
      </c>
      <c r="C24" s="14" t="s">
        <v>395</v>
      </c>
      <c r="D24" s="158" t="str">
        <f ca="1">IF(ABS('2 years'!$P$123)&lt;10^-3,"ok","diff")</f>
        <v>ok</v>
      </c>
      <c r="E24" s="158" t="str">
        <f ca="1">IF(ABS('3 years'!$P$143)&lt;10^-3,"ok","diff")</f>
        <v>ok</v>
      </c>
      <c r="F24" s="158" t="str">
        <f ca="1">IF(ABS('4 years'!$P$163)&lt;10^-3,"ok","diff")</f>
        <v>ok</v>
      </c>
      <c r="G24" s="158" t="str">
        <f ca="1">IF(ABS('5 years'!$P$183)&lt;10^-3,"ok","diff")</f>
        <v>ok</v>
      </c>
    </row>
    <row r="25" spans="2:7" x14ac:dyDescent="0.5">
      <c r="B25" s="158" t="s">
        <v>370</v>
      </c>
      <c r="C25" s="14" t="s">
        <v>355</v>
      </c>
      <c r="D25" s="158" t="str">
        <f ca="1">IF(ABS('2 years'!$Y$123)&lt;10^-3,"ok","diff")</f>
        <v>diff</v>
      </c>
      <c r="E25" s="158" t="str">
        <f ca="1">IF(ABS('3 years'!$Y$143)&lt;10^-3,"ok","diff")</f>
        <v>diff</v>
      </c>
      <c r="F25" s="158" t="str">
        <f>IF(ABS('4 years'!$Z$163)&lt;10^-3,"ok","diff")</f>
        <v>ok</v>
      </c>
      <c r="G25" s="158" t="str">
        <f ca="1">IF(ABS('5 years'!$Y$183)&lt;10^-3,"ok","diff")</f>
        <v>diff</v>
      </c>
    </row>
    <row r="26" spans="2:7" x14ac:dyDescent="0.5">
      <c r="B26" s="158" t="s">
        <v>370</v>
      </c>
      <c r="C26" s="14" t="s">
        <v>356</v>
      </c>
      <c r="D26" s="158" t="str">
        <f>IF(ABS('2 years'!$Z$123)&lt;10^-3,"ok","diff")</f>
        <v>ok</v>
      </c>
      <c r="E26" s="158" t="str">
        <f>IF(ABS('3 years'!$Z$143)&lt;10^-3,"ok","diff")</f>
        <v>ok</v>
      </c>
      <c r="F26" s="158" t="str">
        <f ca="1">IF(ABS('4 years'!$Y$163)&lt;10^-3,"ok","diff")</f>
        <v>diff</v>
      </c>
      <c r="G26" s="158" t="str">
        <f>IF(ABS('5 years'!$Z$183)&lt;10^-3,"ok","diff")</f>
        <v>ok</v>
      </c>
    </row>
  </sheetData>
  <sheetProtection algorithmName="SHA-512" hashValue="bYX1OZi5oplGZ/MadQ4O5uxs8ObGF7Yb3jLdb0rRElk4vnLfFbCkFTxM4GucWXcxX+qVQTNKg3UJ4YzQ0D2FPw==" saltValue="rnMU+T5EsI32gLAC0nKsOw==" spinCount="100000" sheet="1" objects="1" scenarios="1"/>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249977111117893"/>
  </sheetPr>
  <dimension ref="C3:J25"/>
  <sheetViews>
    <sheetView zoomScale="70" zoomScaleNormal="70" workbookViewId="0">
      <pane ySplit="3" topLeftCell="A4" activePane="bottomLeft" state="frozen"/>
      <selection pane="bottomLeft" activeCell="A28" sqref="A28"/>
    </sheetView>
  </sheetViews>
  <sheetFormatPr defaultColWidth="9.15625" defaultRowHeight="12.9" x14ac:dyDescent="0.5"/>
  <cols>
    <col min="1" max="2" width="5.15625" style="14" customWidth="1"/>
    <col min="3" max="3" width="13.15625" style="14" customWidth="1"/>
    <col min="4" max="7" width="9.15625" style="14"/>
    <col min="8" max="8" width="13.15625" style="14" customWidth="1"/>
    <col min="9" max="16384" width="9.15625" style="14"/>
  </cols>
  <sheetData>
    <row r="3" spans="3:10" ht="14.5" customHeight="1" x14ac:dyDescent="0.5"/>
    <row r="4" spans="3:10" ht="14.5" customHeight="1" x14ac:dyDescent="0.5"/>
    <row r="5" spans="3:10" ht="14.5" customHeight="1" x14ac:dyDescent="0.5"/>
    <row r="6" spans="3:10" ht="14.5" customHeight="1" x14ac:dyDescent="0.5"/>
    <row r="7" spans="3:10" ht="15.6" x14ac:dyDescent="0.6">
      <c r="C7" s="29" t="s">
        <v>42</v>
      </c>
      <c r="D7" s="30"/>
      <c r="E7" s="30"/>
      <c r="F7" s="30"/>
      <c r="G7" s="30"/>
      <c r="H7" s="29"/>
      <c r="I7" s="30"/>
      <c r="J7" s="30"/>
    </row>
    <row r="8" spans="3:10" ht="8.5" customHeight="1" x14ac:dyDescent="0.6">
      <c r="C8" s="29"/>
      <c r="D8" s="30"/>
      <c r="E8" s="30"/>
      <c r="F8" s="30"/>
      <c r="G8" s="30"/>
      <c r="H8" s="29"/>
      <c r="I8" s="30"/>
      <c r="J8" s="30"/>
    </row>
    <row r="9" spans="3:10" ht="15.6" x14ac:dyDescent="0.6">
      <c r="C9" s="150" t="s">
        <v>388</v>
      </c>
      <c r="D9" s="150" t="s">
        <v>393</v>
      </c>
      <c r="F9" s="150"/>
      <c r="G9" s="150"/>
      <c r="H9" s="150" t="s">
        <v>43</v>
      </c>
      <c r="I9" s="150" t="s">
        <v>44</v>
      </c>
    </row>
    <row r="10" spans="3:10" ht="15.6" x14ac:dyDescent="0.6">
      <c r="C10" s="150" t="s">
        <v>54</v>
      </c>
      <c r="D10" s="150" t="s">
        <v>55</v>
      </c>
      <c r="E10" s="150"/>
      <c r="F10" s="150"/>
      <c r="G10" s="150"/>
      <c r="H10" s="150" t="s">
        <v>47</v>
      </c>
      <c r="I10" s="150" t="s">
        <v>332</v>
      </c>
      <c r="J10" s="30"/>
    </row>
    <row r="11" spans="3:10" ht="15.6" x14ac:dyDescent="0.6">
      <c r="C11" s="150" t="s">
        <v>330</v>
      </c>
      <c r="D11" s="150" t="s">
        <v>331</v>
      </c>
      <c r="F11" s="150"/>
      <c r="G11" s="150"/>
      <c r="H11" s="150" t="s">
        <v>149</v>
      </c>
      <c r="I11" s="150" t="s">
        <v>324</v>
      </c>
      <c r="J11" s="30"/>
    </row>
    <row r="12" spans="3:10" ht="15.6" x14ac:dyDescent="0.6">
      <c r="C12" s="150" t="s">
        <v>441</v>
      </c>
      <c r="D12" s="150" t="s">
        <v>442</v>
      </c>
      <c r="E12" s="150"/>
      <c r="F12" s="150"/>
      <c r="G12" s="150"/>
      <c r="H12" s="150" t="s">
        <v>396</v>
      </c>
      <c r="I12" s="150" t="s">
        <v>397</v>
      </c>
    </row>
    <row r="13" spans="3:10" ht="15.6" x14ac:dyDescent="0.6">
      <c r="C13" s="150" t="s">
        <v>335</v>
      </c>
      <c r="D13" s="150" t="s">
        <v>336</v>
      </c>
      <c r="F13" s="150"/>
      <c r="G13" s="150"/>
      <c r="H13" s="150" t="s">
        <v>178</v>
      </c>
      <c r="I13" s="150" t="s">
        <v>179</v>
      </c>
    </row>
    <row r="14" spans="3:10" ht="15.6" x14ac:dyDescent="0.6">
      <c r="C14" s="150" t="s">
        <v>333</v>
      </c>
      <c r="D14" s="150" t="s">
        <v>334</v>
      </c>
      <c r="E14" s="150"/>
      <c r="F14" s="150"/>
      <c r="G14" s="150"/>
      <c r="H14" s="150" t="s">
        <v>120</v>
      </c>
      <c r="I14" s="150" t="s">
        <v>121</v>
      </c>
    </row>
    <row r="15" spans="3:10" ht="15.6" x14ac:dyDescent="0.6">
      <c r="C15" s="150" t="s">
        <v>148</v>
      </c>
      <c r="D15" s="150" t="s">
        <v>177</v>
      </c>
      <c r="E15" s="150"/>
      <c r="F15" s="150"/>
      <c r="G15" s="150"/>
      <c r="H15" s="150" t="s">
        <v>50</v>
      </c>
      <c r="I15" s="150" t="s">
        <v>63</v>
      </c>
      <c r="J15" s="30"/>
    </row>
    <row r="16" spans="3:10" ht="15.6" x14ac:dyDescent="0.6">
      <c r="C16" s="150" t="s">
        <v>327</v>
      </c>
      <c r="D16" s="150" t="s">
        <v>328</v>
      </c>
      <c r="E16" s="150"/>
      <c r="F16" s="150"/>
      <c r="G16" s="150"/>
      <c r="H16" s="150" t="s">
        <v>389</v>
      </c>
      <c r="I16" s="150" t="s">
        <v>390</v>
      </c>
    </row>
    <row r="17" spans="3:10" ht="15.6" x14ac:dyDescent="0.6">
      <c r="C17" s="150" t="s">
        <v>59</v>
      </c>
      <c r="D17" s="150" t="s">
        <v>60</v>
      </c>
      <c r="E17" s="150"/>
      <c r="F17" s="150"/>
      <c r="G17" s="150"/>
      <c r="H17" s="150" t="s">
        <v>142</v>
      </c>
      <c r="I17" s="150" t="s">
        <v>158</v>
      </c>
      <c r="J17" s="30"/>
    </row>
    <row r="18" spans="3:10" ht="15.6" x14ac:dyDescent="0.6">
      <c r="C18" s="150" t="s">
        <v>65</v>
      </c>
      <c r="D18" s="150" t="s">
        <v>68</v>
      </c>
      <c r="E18" s="150"/>
      <c r="F18" s="150"/>
      <c r="G18" s="150"/>
      <c r="H18" s="150" t="s">
        <v>51</v>
      </c>
      <c r="I18" s="150" t="s">
        <v>39</v>
      </c>
      <c r="J18" s="30"/>
    </row>
    <row r="19" spans="3:10" ht="15.6" x14ac:dyDescent="0.6">
      <c r="C19" s="150" t="s">
        <v>391</v>
      </c>
      <c r="D19" s="150" t="s">
        <v>329</v>
      </c>
      <c r="E19" s="150"/>
      <c r="F19" s="150"/>
      <c r="G19" s="150"/>
      <c r="H19" s="150" t="s">
        <v>45</v>
      </c>
      <c r="I19" s="150" t="s">
        <v>46</v>
      </c>
      <c r="J19" s="30"/>
    </row>
    <row r="20" spans="3:10" ht="15.6" x14ac:dyDescent="0.6">
      <c r="C20" s="150" t="s">
        <v>4</v>
      </c>
      <c r="D20" s="150" t="s">
        <v>58</v>
      </c>
      <c r="E20" s="150"/>
      <c r="F20" s="151"/>
      <c r="G20" s="151"/>
      <c r="H20" s="150" t="s">
        <v>3</v>
      </c>
      <c r="I20" s="150" t="s">
        <v>56</v>
      </c>
      <c r="J20" s="30"/>
    </row>
    <row r="21" spans="3:10" ht="15.6" x14ac:dyDescent="0.6">
      <c r="C21" s="150" t="s">
        <v>52</v>
      </c>
      <c r="D21" s="150" t="s">
        <v>33</v>
      </c>
      <c r="E21" s="150"/>
      <c r="F21" s="151"/>
      <c r="G21" s="151"/>
      <c r="H21" s="150" t="s">
        <v>344</v>
      </c>
      <c r="I21" s="150" t="s">
        <v>345</v>
      </c>
      <c r="J21" s="30"/>
    </row>
    <row r="22" spans="3:10" ht="15.6" x14ac:dyDescent="0.6">
      <c r="C22" s="150" t="s">
        <v>48</v>
      </c>
      <c r="D22" s="150" t="s">
        <v>49</v>
      </c>
      <c r="E22" s="150"/>
      <c r="H22" s="150" t="s">
        <v>0</v>
      </c>
      <c r="I22" s="150" t="s">
        <v>57</v>
      </c>
      <c r="J22" s="30"/>
    </row>
    <row r="23" spans="3:10" ht="15.6" x14ac:dyDescent="0.6">
      <c r="C23" s="150" t="s">
        <v>53</v>
      </c>
      <c r="D23" s="150" t="s">
        <v>64</v>
      </c>
      <c r="E23" s="151"/>
      <c r="H23" s="150" t="s">
        <v>322</v>
      </c>
      <c r="I23" s="150" t="s">
        <v>323</v>
      </c>
      <c r="J23" s="30"/>
    </row>
    <row r="24" spans="3:10" ht="15.6" x14ac:dyDescent="0.6">
      <c r="C24" s="150" t="s">
        <v>61</v>
      </c>
      <c r="D24" s="150" t="s">
        <v>62</v>
      </c>
      <c r="E24" s="151"/>
      <c r="H24" s="150" t="s">
        <v>392</v>
      </c>
      <c r="I24" s="150" t="s">
        <v>394</v>
      </c>
    </row>
    <row r="25" spans="3:10" ht="15.6" x14ac:dyDescent="0.6">
      <c r="C25" s="150" t="s">
        <v>348</v>
      </c>
      <c r="D25" s="150" t="s">
        <v>349</v>
      </c>
      <c r="H25" s="150" t="s">
        <v>346</v>
      </c>
      <c r="I25" s="150" t="s">
        <v>347</v>
      </c>
    </row>
  </sheetData>
  <sheetProtection algorithmName="SHA-512" hashValue="LG7jVB8GyBTXjva0BHcLNYOkvulmDT/4p8t7mejJc9ucL8KkVKay3DaByLAQuXTyXh9XMswEEf6hbI4Ms+MgTg==" saltValue="+Vcm9K4xp8zDIR4ZR8WK2A==" spinCount="100000" sheet="1" objects="1" scenarios="1"/>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249977111117893"/>
  </sheetPr>
  <dimension ref="A6:E46"/>
  <sheetViews>
    <sheetView zoomScale="70" zoomScaleNormal="70" workbookViewId="0">
      <pane ySplit="3" topLeftCell="A4" activePane="bottomLeft" state="frozen"/>
      <selection pane="bottomLeft" activeCell="A17" sqref="A17"/>
    </sheetView>
  </sheetViews>
  <sheetFormatPr defaultColWidth="9.15625" defaultRowHeight="15.6" x14ac:dyDescent="0.6"/>
  <cols>
    <col min="1" max="1" width="4.26171875" style="27" customWidth="1"/>
    <col min="2" max="2" width="7.26171875" style="32" customWidth="1"/>
    <col min="3" max="4" width="4.15625" style="32" customWidth="1"/>
    <col min="5" max="5" width="107.15625" style="33" customWidth="1"/>
    <col min="6" max="16384" width="9.15625" style="30"/>
  </cols>
  <sheetData>
    <row r="6" spans="1:5" s="31" customFormat="1" ht="22.15" customHeight="1" x14ac:dyDescent="0.55000000000000004">
      <c r="A6" s="27"/>
      <c r="B6" s="43" t="s">
        <v>159</v>
      </c>
      <c r="D6" s="41"/>
      <c r="E6" s="41"/>
    </row>
    <row r="7" spans="1:5" s="31" customFormat="1" ht="18.3" x14ac:dyDescent="0.55000000000000004">
      <c r="A7" s="27"/>
      <c r="B7" s="34"/>
      <c r="C7" s="41"/>
      <c r="D7" s="41"/>
      <c r="E7" s="41"/>
    </row>
    <row r="8" spans="1:5" ht="36" customHeight="1" x14ac:dyDescent="0.6">
      <c r="B8" s="35">
        <v>53</v>
      </c>
      <c r="C8" s="200" t="s">
        <v>76</v>
      </c>
      <c r="D8" s="200"/>
      <c r="E8" s="200"/>
    </row>
    <row r="9" spans="1:5" ht="51.6" customHeight="1" x14ac:dyDescent="0.6">
      <c r="B9" s="35"/>
      <c r="C9" s="32" t="s">
        <v>70</v>
      </c>
      <c r="D9" s="200" t="s">
        <v>77</v>
      </c>
      <c r="E9" s="200"/>
    </row>
    <row r="10" spans="1:5" ht="42" customHeight="1" x14ac:dyDescent="0.6">
      <c r="B10" s="35"/>
      <c r="C10" s="32" t="s">
        <v>71</v>
      </c>
      <c r="D10" s="200" t="s">
        <v>78</v>
      </c>
      <c r="E10" s="200"/>
    </row>
    <row r="11" spans="1:5" ht="49.9" customHeight="1" x14ac:dyDescent="0.6">
      <c r="B11" s="35">
        <v>54</v>
      </c>
      <c r="C11" s="200" t="s">
        <v>79</v>
      </c>
      <c r="D11" s="200"/>
      <c r="E11" s="200"/>
    </row>
    <row r="12" spans="1:5" ht="20.5" customHeight="1" x14ac:dyDescent="0.6">
      <c r="B12" s="35"/>
      <c r="C12" s="32" t="s">
        <v>70</v>
      </c>
      <c r="D12" s="200" t="s">
        <v>80</v>
      </c>
      <c r="E12" s="200"/>
    </row>
    <row r="13" spans="1:5" ht="30" customHeight="1" x14ac:dyDescent="0.6">
      <c r="B13" s="35"/>
      <c r="C13" s="32" t="s">
        <v>71</v>
      </c>
      <c r="D13" s="200" t="s">
        <v>81</v>
      </c>
      <c r="E13" s="200"/>
    </row>
    <row r="14" spans="1:5" ht="19.899999999999999" customHeight="1" x14ac:dyDescent="0.6">
      <c r="B14" s="35">
        <v>55</v>
      </c>
      <c r="C14" s="200" t="s">
        <v>82</v>
      </c>
      <c r="D14" s="200"/>
      <c r="E14" s="200"/>
    </row>
    <row r="15" spans="1:5" ht="18.600000000000001" customHeight="1" x14ac:dyDescent="0.6">
      <c r="B15" s="35"/>
      <c r="C15" s="32" t="s">
        <v>70</v>
      </c>
      <c r="D15" s="200" t="s">
        <v>83</v>
      </c>
      <c r="E15" s="200"/>
    </row>
    <row r="16" spans="1:5" x14ac:dyDescent="0.6">
      <c r="B16" s="35"/>
      <c r="D16" s="32" t="s">
        <v>72</v>
      </c>
      <c r="E16" s="36" t="s">
        <v>84</v>
      </c>
    </row>
    <row r="17" spans="1:5" ht="31.2" x14ac:dyDescent="0.6">
      <c r="B17" s="35"/>
      <c r="D17" s="32" t="s">
        <v>73</v>
      </c>
      <c r="E17" s="36" t="s">
        <v>85</v>
      </c>
    </row>
    <row r="18" spans="1:5" ht="37.15" customHeight="1" x14ac:dyDescent="0.6">
      <c r="B18" s="35"/>
      <c r="D18" s="32" t="s">
        <v>74</v>
      </c>
      <c r="E18" s="36" t="s">
        <v>86</v>
      </c>
    </row>
    <row r="19" spans="1:5" ht="36.6" customHeight="1" x14ac:dyDescent="0.6">
      <c r="B19" s="35"/>
      <c r="C19" s="32" t="s">
        <v>71</v>
      </c>
      <c r="D19" s="200" t="s">
        <v>87</v>
      </c>
      <c r="E19" s="200"/>
    </row>
    <row r="20" spans="1:5" x14ac:dyDescent="0.6">
      <c r="A20" s="28"/>
      <c r="B20" s="35"/>
      <c r="D20" s="32" t="s">
        <v>72</v>
      </c>
      <c r="E20" s="37" t="s">
        <v>88</v>
      </c>
    </row>
    <row r="21" spans="1:5" ht="31.2" x14ac:dyDescent="0.6">
      <c r="B21" s="35"/>
      <c r="D21" s="32" t="s">
        <v>73</v>
      </c>
      <c r="E21" s="37" t="s">
        <v>89</v>
      </c>
    </row>
    <row r="22" spans="1:5" ht="49.9" customHeight="1" x14ac:dyDescent="0.6">
      <c r="B22" s="35"/>
      <c r="D22" s="32" t="s">
        <v>74</v>
      </c>
      <c r="E22" s="36" t="s">
        <v>90</v>
      </c>
    </row>
    <row r="23" spans="1:5" x14ac:dyDescent="0.6">
      <c r="B23" s="35"/>
      <c r="D23" s="32" t="s">
        <v>91</v>
      </c>
      <c r="E23" s="36" t="s">
        <v>92</v>
      </c>
    </row>
    <row r="24" spans="1:5" ht="18" customHeight="1" x14ac:dyDescent="0.6">
      <c r="B24" s="35"/>
      <c r="D24" s="32" t="s">
        <v>93</v>
      </c>
      <c r="E24" s="36" t="s">
        <v>94</v>
      </c>
    </row>
    <row r="25" spans="1:5" ht="29.5" customHeight="1" x14ac:dyDescent="0.6">
      <c r="B25" s="35"/>
      <c r="D25" s="32" t="s">
        <v>96</v>
      </c>
      <c r="E25" s="36" t="s">
        <v>97</v>
      </c>
    </row>
    <row r="26" spans="1:5" ht="105.6" customHeight="1" x14ac:dyDescent="0.6">
      <c r="B26" s="35">
        <v>56</v>
      </c>
      <c r="C26" s="200" t="s">
        <v>98</v>
      </c>
      <c r="D26" s="200"/>
      <c r="E26" s="200"/>
    </row>
    <row r="27" spans="1:5" ht="33.6" customHeight="1" x14ac:dyDescent="0.6">
      <c r="B27" s="35">
        <v>57</v>
      </c>
      <c r="C27" s="200" t="s">
        <v>99</v>
      </c>
      <c r="D27" s="200"/>
      <c r="E27" s="200"/>
    </row>
    <row r="28" spans="1:5" ht="18.600000000000001" customHeight="1" x14ac:dyDescent="0.6">
      <c r="B28" s="35"/>
      <c r="C28" s="32" t="s">
        <v>70</v>
      </c>
      <c r="D28" s="200" t="s">
        <v>100</v>
      </c>
      <c r="E28" s="200"/>
    </row>
    <row r="29" spans="1:5" ht="26.5" customHeight="1" x14ac:dyDescent="0.6">
      <c r="B29" s="35"/>
      <c r="C29" s="199" t="s">
        <v>71</v>
      </c>
      <c r="D29" s="200" t="s">
        <v>101</v>
      </c>
      <c r="E29" s="200"/>
    </row>
    <row r="30" spans="1:5" ht="46.9" customHeight="1" x14ac:dyDescent="0.6">
      <c r="B30" s="35"/>
      <c r="C30" s="199"/>
      <c r="D30" s="200"/>
      <c r="E30" s="200"/>
    </row>
    <row r="31" spans="1:5" ht="38.5" customHeight="1" x14ac:dyDescent="0.6">
      <c r="B31" s="35">
        <v>58</v>
      </c>
      <c r="C31" s="200" t="s">
        <v>102</v>
      </c>
      <c r="D31" s="200"/>
      <c r="E31" s="200"/>
    </row>
    <row r="32" spans="1:5" ht="20.5" customHeight="1" x14ac:dyDescent="0.6">
      <c r="B32" s="35">
        <v>59</v>
      </c>
      <c r="C32" s="200" t="s">
        <v>103</v>
      </c>
      <c r="D32" s="200"/>
      <c r="E32" s="200"/>
    </row>
    <row r="33" spans="1:5" ht="34.9" customHeight="1" x14ac:dyDescent="0.6">
      <c r="B33" s="35"/>
      <c r="C33" s="32" t="s">
        <v>70</v>
      </c>
      <c r="D33" s="200" t="s">
        <v>104</v>
      </c>
      <c r="E33" s="200"/>
    </row>
    <row r="34" spans="1:5" ht="30" customHeight="1" x14ac:dyDescent="0.6">
      <c r="B34" s="35"/>
      <c r="C34" s="199" t="s">
        <v>71</v>
      </c>
      <c r="D34" s="200" t="s">
        <v>105</v>
      </c>
      <c r="E34" s="200"/>
    </row>
    <row r="35" spans="1:5" ht="45" customHeight="1" x14ac:dyDescent="0.6">
      <c r="B35" s="35"/>
      <c r="C35" s="199"/>
      <c r="D35" s="200"/>
      <c r="E35" s="200"/>
    </row>
    <row r="37" spans="1:5" ht="18" customHeight="1" x14ac:dyDescent="0.6">
      <c r="B37" s="44" t="s">
        <v>116</v>
      </c>
      <c r="C37" s="30"/>
      <c r="D37" s="42"/>
      <c r="E37" s="42"/>
    </row>
    <row r="38" spans="1:5" s="31" customFormat="1" ht="22.15" customHeight="1" x14ac:dyDescent="0.55000000000000004">
      <c r="A38" s="27"/>
      <c r="B38" s="34"/>
    </row>
    <row r="39" spans="1:5" ht="17.5" customHeight="1" x14ac:dyDescent="0.6">
      <c r="B39" s="38" t="s">
        <v>75</v>
      </c>
      <c r="C39" s="200" t="s">
        <v>106</v>
      </c>
      <c r="D39" s="200"/>
      <c r="E39" s="200"/>
    </row>
    <row r="40" spans="1:5" ht="18" customHeight="1" x14ac:dyDescent="0.6">
      <c r="B40" s="39"/>
      <c r="C40" s="40" t="s">
        <v>70</v>
      </c>
      <c r="D40" s="200" t="s">
        <v>107</v>
      </c>
      <c r="E40" s="200"/>
    </row>
    <row r="41" spans="1:5" ht="23.5" customHeight="1" x14ac:dyDescent="0.6">
      <c r="B41" s="39"/>
      <c r="C41" s="40" t="s">
        <v>71</v>
      </c>
      <c r="D41" s="200" t="s">
        <v>108</v>
      </c>
      <c r="E41" s="200"/>
    </row>
    <row r="42" spans="1:5" ht="53.5" customHeight="1" x14ac:dyDescent="0.6">
      <c r="B42" s="38" t="s">
        <v>109</v>
      </c>
      <c r="C42" s="200" t="s">
        <v>110</v>
      </c>
      <c r="D42" s="200"/>
      <c r="E42" s="200"/>
    </row>
    <row r="43" spans="1:5" x14ac:dyDescent="0.6">
      <c r="B43" s="38" t="s">
        <v>95</v>
      </c>
      <c r="C43" s="200" t="s">
        <v>111</v>
      </c>
      <c r="D43" s="200"/>
      <c r="E43" s="200"/>
    </row>
    <row r="44" spans="1:5" ht="21" customHeight="1" x14ac:dyDescent="0.6">
      <c r="B44" s="39"/>
      <c r="C44" s="40" t="s">
        <v>70</v>
      </c>
      <c r="D44" s="200" t="s">
        <v>112</v>
      </c>
      <c r="E44" s="200"/>
    </row>
    <row r="45" spans="1:5" ht="36.6" customHeight="1" x14ac:dyDescent="0.6">
      <c r="B45" s="39"/>
      <c r="C45" s="40" t="s">
        <v>71</v>
      </c>
      <c r="D45" s="200" t="s">
        <v>113</v>
      </c>
      <c r="E45" s="200"/>
    </row>
    <row r="46" spans="1:5" ht="36" customHeight="1" x14ac:dyDescent="0.6">
      <c r="B46" s="38" t="s">
        <v>114</v>
      </c>
      <c r="C46" s="200" t="s">
        <v>115</v>
      </c>
      <c r="D46" s="200"/>
      <c r="E46" s="200"/>
    </row>
  </sheetData>
  <sheetProtection algorithmName="SHA-512" hashValue="1cJMyMdPpJPs1mcxx/GMGD2y0UMCAoiNDg46gi+sUdIYqs3IEkLMLnyCNQxHpyEpGISIhX4ctTVUk02B72C8Vw==" saltValue="hgEjeqS8c8V9cg3LDRd5vw==" spinCount="100000" sheet="1" objects="1" scenarios="1"/>
  <mergeCells count="27">
    <mergeCell ref="C46:E46"/>
    <mergeCell ref="C8:E8"/>
    <mergeCell ref="C11:E11"/>
    <mergeCell ref="C14:E14"/>
    <mergeCell ref="C43:E43"/>
    <mergeCell ref="D44:E44"/>
    <mergeCell ref="D45:E45"/>
    <mergeCell ref="D9:E9"/>
    <mergeCell ref="D10:E10"/>
    <mergeCell ref="D15:E15"/>
    <mergeCell ref="D19:E19"/>
    <mergeCell ref="C26:E26"/>
    <mergeCell ref="C27:E27"/>
    <mergeCell ref="D12:E12"/>
    <mergeCell ref="D13:E13"/>
    <mergeCell ref="D28:E28"/>
    <mergeCell ref="C29:C30"/>
    <mergeCell ref="D29:E30"/>
    <mergeCell ref="C31:E31"/>
    <mergeCell ref="C42:E42"/>
    <mergeCell ref="C39:E39"/>
    <mergeCell ref="D40:E40"/>
    <mergeCell ref="D41:E41"/>
    <mergeCell ref="C32:E32"/>
    <mergeCell ref="D33:E33"/>
    <mergeCell ref="C34:C35"/>
    <mergeCell ref="D34:E3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vt:lpstr>
      <vt:lpstr>2 years</vt:lpstr>
      <vt:lpstr>3 years</vt:lpstr>
      <vt:lpstr>4 years</vt:lpstr>
      <vt:lpstr>5 years</vt:lpstr>
      <vt:lpstr>Instructions</vt:lpstr>
      <vt:lpstr>Checks</vt:lpstr>
      <vt:lpstr>Abbrev</vt:lpstr>
      <vt:lpstr>PAA Rules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SX</dc:creator>
  <cp:lastModifiedBy>Pawel Wozniak</cp:lastModifiedBy>
  <cp:lastPrinted>2019-04-13T18:37:34Z</cp:lastPrinted>
  <dcterms:created xsi:type="dcterms:W3CDTF">2019-03-22T11:58:00Z</dcterms:created>
  <dcterms:modified xsi:type="dcterms:W3CDTF">2022-06-19T14:45:51Z</dcterms:modified>
</cp:coreProperties>
</file>